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60" windowHeight="8880" activeTab="0"/>
  </bookViews>
  <sheets>
    <sheet name="Travel" sheetId="1" r:id="rId1"/>
    <sheet name="Hospitality" sheetId="2" r:id="rId2"/>
    <sheet name="Other" sheetId="3" r:id="rId3"/>
    <sheet name="Gifts" sheetId="4" r:id="rId4"/>
  </sheets>
  <definedNames>
    <definedName name="_xlnm.Print_Area" localSheetId="3">'Gifts'!$A$1:$E$22</definedName>
    <definedName name="_xlnm.Print_Area" localSheetId="1">'Hospitality'!$A$1:$E$32</definedName>
    <definedName name="_xlnm.Print_Area" localSheetId="2">'Other'!$A$1:$E$25</definedName>
    <definedName name="_xlnm.Print_Area" localSheetId="0">'Travel'!$A$1:$E$157</definedName>
  </definedNames>
  <calcPr fullCalcOnLoad="1"/>
</workbook>
</file>

<file path=xl/sharedStrings.xml><?xml version="1.0" encoding="utf-8"?>
<sst xmlns="http://schemas.openxmlformats.org/spreadsheetml/2006/main" count="599" uniqueCount="232">
  <si>
    <t>Date</t>
  </si>
  <si>
    <t>Location/s</t>
  </si>
  <si>
    <t>Amount (NZ$)</t>
  </si>
  <si>
    <t>International Travel</t>
  </si>
  <si>
    <t>Credit Card expenses</t>
  </si>
  <si>
    <t xml:space="preserve">Purpose (eg, attending conference on...) </t>
  </si>
  <si>
    <t>Nature (eg, hotel costs, travel, etc)</t>
  </si>
  <si>
    <t>non-Credit Card expenses</t>
  </si>
  <si>
    <t>DomesticTravel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</si>
  <si>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</si>
  <si>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</si>
  <si>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</si>
  <si>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</si>
  <si>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</si>
  <si>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</si>
  <si>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</si>
  <si>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</si>
  <si>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</si>
  <si>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</si>
  <si>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</si>
  <si>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</si>
  <si>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</si>
  <si>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</si>
  <si>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</si>
  <si>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 xml:space="preserve">Purpose (eg, visiting district offices ...) </t>
  </si>
  <si>
    <t>Gifts &amp; Hospitality accepted (over $100 in estimated value)</t>
  </si>
  <si>
    <t>Total other expenses for the 6-monthly period</t>
  </si>
  <si>
    <t>Total hospitality expenses for the 6-monthly period</t>
  </si>
  <si>
    <t>Total travel expenses 
for the 6-monthly period</t>
  </si>
  <si>
    <t>Name of organisation - Ministry of Pacific Island Affairs</t>
  </si>
  <si>
    <t>Total</t>
  </si>
  <si>
    <t>Airfare</t>
  </si>
  <si>
    <t>Wellington/Auckland return</t>
  </si>
  <si>
    <t>Auckland/Wellington</t>
  </si>
  <si>
    <t>Nil</t>
  </si>
  <si>
    <t>Name of CE: Pauline A Winter</t>
  </si>
  <si>
    <t>Period [01/01/2013 - 30/06/2013]</t>
  </si>
  <si>
    <t>16.01.2013</t>
  </si>
  <si>
    <t>29.01.2013</t>
  </si>
  <si>
    <t>14.02 to 17.02.2013</t>
  </si>
  <si>
    <t>Attending Minister's Cross Sectoral Forum</t>
  </si>
  <si>
    <t>14.02.2013</t>
  </si>
  <si>
    <t>17.01.2013</t>
  </si>
  <si>
    <t>25.02.2013</t>
  </si>
  <si>
    <t>Auckland</t>
  </si>
  <si>
    <t>11.02.2013</t>
  </si>
  <si>
    <t>Visit to Committee for Auckland</t>
  </si>
  <si>
    <t>Carparking</t>
  </si>
  <si>
    <t>12.02.2013</t>
  </si>
  <si>
    <t>Taxi</t>
  </si>
  <si>
    <t>Wellington</t>
  </si>
  <si>
    <t>Attending NZ Engineers Association breakfast</t>
  </si>
  <si>
    <t>15 - 16.02.2013</t>
  </si>
  <si>
    <t>Airport carparking</t>
  </si>
  <si>
    <t>21 - 22.02.2013</t>
  </si>
  <si>
    <t>Attending meetings in Auckland</t>
  </si>
  <si>
    <t>4 - 5.02.2013</t>
  </si>
  <si>
    <t>Travel to Auckland office/Manukau/City</t>
  </si>
  <si>
    <t>8.02.2013</t>
  </si>
  <si>
    <t>Accommodation</t>
  </si>
  <si>
    <t>Invercargill</t>
  </si>
  <si>
    <t>20 - 25.02.2013</t>
  </si>
  <si>
    <t>27.02.2013</t>
  </si>
  <si>
    <t xml:space="preserve">Wellington/Auckland </t>
  </si>
  <si>
    <t>7.02.2013</t>
  </si>
  <si>
    <t>8 - 9.02.2013</t>
  </si>
  <si>
    <t>Wellington/Invercargill/Wellington</t>
  </si>
  <si>
    <t>29 - 30.01.2013</t>
  </si>
  <si>
    <t>19.01.2013</t>
  </si>
  <si>
    <t>30.01.2013</t>
  </si>
  <si>
    <t>18.01.2013</t>
  </si>
  <si>
    <t>19 to 29.01.2013</t>
  </si>
  <si>
    <t>3.02.2013</t>
  </si>
  <si>
    <t>20.02.2013</t>
  </si>
  <si>
    <t>26.02.2013</t>
  </si>
  <si>
    <t>21.02.2013</t>
  </si>
  <si>
    <t>19.02.2013</t>
  </si>
  <si>
    <t>Taxi from city to Auckland University to attend "Walter Fraser" meeting.</t>
  </si>
  <si>
    <t>Taxi from Auckland University meeting to Auckland Pacifica Police Advisory Board.</t>
  </si>
  <si>
    <t>13.03.2013</t>
  </si>
  <si>
    <t>19.03.2013</t>
  </si>
  <si>
    <t>Christchurch</t>
  </si>
  <si>
    <t>22.03.2013</t>
  </si>
  <si>
    <t>Coffee in Christchurch</t>
  </si>
  <si>
    <t>Coffee</t>
  </si>
  <si>
    <t>Working lunch</t>
  </si>
  <si>
    <t>20.03.2013</t>
  </si>
  <si>
    <t>27.03.2013</t>
  </si>
  <si>
    <t>16.03.2013</t>
  </si>
  <si>
    <t>26.03.2013</t>
  </si>
  <si>
    <t>07.03.2013</t>
  </si>
  <si>
    <t>28.02.2013</t>
  </si>
  <si>
    <t>14.03.2013</t>
  </si>
  <si>
    <t>7.04.2013</t>
  </si>
  <si>
    <t>Returning to Wellington</t>
  </si>
  <si>
    <t>22 - 25.03.2013</t>
  </si>
  <si>
    <t>13 - 14.03.2013</t>
  </si>
  <si>
    <t>28.02 - 7.03.2013</t>
  </si>
  <si>
    <t>Wellington/Auckland</t>
  </si>
  <si>
    <t>15.03.2013</t>
  </si>
  <si>
    <t>Auckland/Christchurch</t>
  </si>
  <si>
    <t>Christchurch/Wellington</t>
  </si>
  <si>
    <t>21.03.2013</t>
  </si>
  <si>
    <t>Attending meetings in Auckland (AK Uni, AK Police Advisory, PESS workshop)</t>
  </si>
  <si>
    <t>4.04.2013</t>
  </si>
  <si>
    <t>8.04.2013</t>
  </si>
  <si>
    <t>5.04.2013</t>
  </si>
  <si>
    <t>12.04.2013</t>
  </si>
  <si>
    <t>12 - 17.04.2013</t>
  </si>
  <si>
    <t>Travel allowances</t>
  </si>
  <si>
    <t>17.04.2013</t>
  </si>
  <si>
    <t>20.04.2013</t>
  </si>
  <si>
    <t>23.04.2013</t>
  </si>
  <si>
    <t>21.04.2013</t>
  </si>
  <si>
    <t>15.04.2013</t>
  </si>
  <si>
    <t>18.04.2013</t>
  </si>
  <si>
    <t>29.04.2013</t>
  </si>
  <si>
    <t>Attending 1st ECE Pasifika Conference at AK University</t>
  </si>
  <si>
    <t>8.05.2013</t>
  </si>
  <si>
    <t>Attending the Pacifica Youth Conference in Auckland</t>
  </si>
  <si>
    <t>29.04 to 3.05.2013</t>
  </si>
  <si>
    <t>Meal allowances</t>
  </si>
  <si>
    <t>10.05.2013</t>
  </si>
  <si>
    <t>Lunchtime meeting CE plus 2 guests</t>
  </si>
  <si>
    <t>Lunchtime meeting</t>
  </si>
  <si>
    <t>Meeting with De La Salle Foundation</t>
  </si>
  <si>
    <t>Rental car</t>
  </si>
  <si>
    <t>5.05.2013</t>
  </si>
  <si>
    <t>8 to 9.05.2013</t>
  </si>
  <si>
    <t>22.05.2013</t>
  </si>
  <si>
    <t>Attending Pasifika Forum and client meetings</t>
  </si>
  <si>
    <t>Subscription to online newsletter</t>
  </si>
  <si>
    <t>14.06.2013</t>
  </si>
  <si>
    <t>4.05.2013</t>
  </si>
  <si>
    <t>22 to 25.05.2013</t>
  </si>
  <si>
    <t>9.05.2013</t>
  </si>
  <si>
    <t>21.05.2013</t>
  </si>
  <si>
    <t>17.05.2013</t>
  </si>
  <si>
    <t>4 to 5.06.2013</t>
  </si>
  <si>
    <t>13.06.2013</t>
  </si>
  <si>
    <t>5.06.2013</t>
  </si>
  <si>
    <t>4.06.2013</t>
  </si>
  <si>
    <t>13 to 14.06.2013</t>
  </si>
  <si>
    <t>Attending MPIA PBT Young Enterprise Scheme SEED Fund Awards</t>
  </si>
  <si>
    <t>Attending funeral for prominent community leader</t>
  </si>
  <si>
    <t>16.06.2013</t>
  </si>
  <si>
    <t>Return to Wellington office</t>
  </si>
  <si>
    <t>21.06.2013</t>
  </si>
  <si>
    <t xml:space="preserve">Wellington/Tauranga </t>
  </si>
  <si>
    <t>26.06.2013</t>
  </si>
  <si>
    <t>20.06.2013</t>
  </si>
  <si>
    <t>25.06.2013</t>
  </si>
  <si>
    <t>19.06.2013</t>
  </si>
  <si>
    <t>27.06.2013</t>
  </si>
  <si>
    <t>18.06.2013</t>
  </si>
  <si>
    <t>CEO meeting</t>
  </si>
  <si>
    <t>Catering for meeting</t>
  </si>
  <si>
    <t>24.06.2013</t>
  </si>
  <si>
    <t>Attending NZEI evening - health and technology</t>
  </si>
  <si>
    <t>23.05.2013</t>
  </si>
  <si>
    <t>15.06.2013</t>
  </si>
  <si>
    <t>2.05.2013</t>
  </si>
  <si>
    <t>Attending Mayor's Disaster Fund Launch</t>
  </si>
  <si>
    <t xml:space="preserve">Membership Subscription to New Zealand Institute of Management Inc </t>
  </si>
  <si>
    <t>Membership Subscription to Institute of Directors in New Zealand</t>
  </si>
  <si>
    <t>Purchase of Celebratory Cards (congratulations, birthdays, thank-you etc)</t>
  </si>
  <si>
    <t xml:space="preserve">Working lunch CE plus Christchurch staff </t>
  </si>
  <si>
    <t>Attending Meetings with Christchurch staff &amp; community leaders</t>
  </si>
  <si>
    <t>Attended various meetings over several days in Auckland</t>
  </si>
  <si>
    <t>Private running Motor Vehicle</t>
  </si>
  <si>
    <t>Attending various meeting in Auckland</t>
  </si>
  <si>
    <t>Attending the PACIFICA National Conference</t>
  </si>
  <si>
    <t>Travel to and from Auckland office</t>
  </si>
  <si>
    <t>Attending Pasifika Festival &amp; Pacific Womens Watch meeting</t>
  </si>
  <si>
    <t>Attending Massey University Awards</t>
  </si>
  <si>
    <t>Attending various meetings with Christchurch community leaders</t>
  </si>
  <si>
    <t>Attending various meetings in Auckland</t>
  </si>
  <si>
    <t>Airport Transfers (Auckland &amp; Wellington)</t>
  </si>
  <si>
    <t>Attending meeting with MoE</t>
  </si>
  <si>
    <t>Attending meeting at Parliament</t>
  </si>
  <si>
    <t>Attending Wellington Pasifika Festival</t>
  </si>
  <si>
    <t>Airport Transfers (Auckland)</t>
  </si>
  <si>
    <t>Attending official welcome Manu Samoa 7s at Samoan High Commission (2 journeys)</t>
  </si>
  <si>
    <t>Airport transfers (Auckland &amp; Wellington) attending ECE Pasifika Conference at Auckland University</t>
  </si>
  <si>
    <t>Attending the PACIFICA National Conference (2 journeys)</t>
  </si>
  <si>
    <t>Airport Transfer (Wellington)</t>
  </si>
  <si>
    <t>Attending meeting of MoE Student Achievement Board (2 Jouneys)</t>
  </si>
  <si>
    <t>Attending meetings in Wellington</t>
  </si>
  <si>
    <t>Attending meeting with Ministry of Womens Affairs and Ministry Strategic Planning Day (2 Journeys)</t>
  </si>
  <si>
    <t>Attending HRC Book Launch</t>
  </si>
  <si>
    <t>Attending "Class of 2012 HRC Book Launch" and Pacific Cooperation Foundation function</t>
  </si>
  <si>
    <t>Attending Pacific Cooperation Foundation function</t>
  </si>
  <si>
    <t>Attending meetings in Wellington (2 journeys)</t>
  </si>
  <si>
    <t>Attending meeting with Audit NZ</t>
  </si>
  <si>
    <t>Airport Transfer (Auckland)</t>
  </si>
  <si>
    <t>Attending Massey University Awards (2 Journeys)</t>
  </si>
  <si>
    <t xml:space="preserve">Attending Meetings with Christchurch staff </t>
  </si>
  <si>
    <t>Attending meeting with MoE Student Achievement Board (2 Journeys)</t>
  </si>
  <si>
    <t>Airport Transfers (Christchurch &amp; Wellington)</t>
  </si>
  <si>
    <t>Attending AUT - opening of Sir Paul Building (2 journeys)</t>
  </si>
  <si>
    <t>Attending meeting with MoE Pasifika Advisory Group (2 Journeys)</t>
  </si>
  <si>
    <t>Presenting to Auckland Council Social Development Committee (2 journeys)</t>
  </si>
  <si>
    <t>Attending ASB Trust - launch of Restoration &amp; New Building (2 journeys)</t>
  </si>
  <si>
    <t>Airport Transfer (Auckland &amp; Wellington)</t>
  </si>
  <si>
    <t>Attending GCIO briefing (2 journeys)</t>
  </si>
  <si>
    <t>Attending De la Salle College Trust meeting (2 journeys)</t>
  </si>
  <si>
    <t>Attending MoE Student Achievement Board (2 journeys)</t>
  </si>
  <si>
    <t>Attending meeting at MoE</t>
  </si>
  <si>
    <t>Attendinng Pacific Parliament and Politicians dinner (2 journeys)</t>
  </si>
  <si>
    <t xml:space="preserve">Attending NZ Police Development board meeting </t>
  </si>
  <si>
    <t>Attending Pacific Parliamentarian's civic function</t>
  </si>
  <si>
    <t>Travel to Auckland office</t>
  </si>
  <si>
    <t>Attending various meeting</t>
  </si>
  <si>
    <t>Airport Transfer (Wellington &amp; Auckland)</t>
  </si>
  <si>
    <t>Attending  launch of Pacific Trades Training in Porirua City</t>
  </si>
  <si>
    <t xml:space="preserve">Attending Victoria University student graduation </t>
  </si>
  <si>
    <t xml:space="preserve">Attending CE Forum </t>
  </si>
  <si>
    <t>Speaking at Committee for Auckland - Talking Heads event</t>
  </si>
  <si>
    <t xml:space="preserve">Attending meeting with Air NZ </t>
  </si>
  <si>
    <t>Airport transfer (Wellington)</t>
  </si>
  <si>
    <t>Attending Pacific Business Trust - YES Awards (2 Journeys)</t>
  </si>
  <si>
    <t>Cancellation of personal pre booked trip to attend the funeral.</t>
  </si>
  <si>
    <t>Attending meeting at MoE of ECE Taskforce (2 journeys)</t>
  </si>
  <si>
    <t xml:space="preserve">Attending Pasifika Leadership Development Course gaduation at Amora Hotel </t>
  </si>
  <si>
    <t>Attending Wellington Gold Awards at TSB Stadium (2 journeys)</t>
  </si>
  <si>
    <t>Guest presenter at Creative New Zealand Arts Awards</t>
  </si>
  <si>
    <t>Attending various meetings in Auckland (3 journeys)</t>
  </si>
  <si>
    <t>Attending Governor General's State Dinner for His Excellency Mr Taur Matan Ruak (2 Journeys)</t>
  </si>
  <si>
    <t xml:space="preserve">Attending Pacific Business Trust  - Westpac Stadium Event </t>
  </si>
  <si>
    <t>Attending various events in Wellington (5 Journeys)</t>
  </si>
  <si>
    <t xml:space="preserve">Attending Massey University Launch of Maori and Pacifica Strategies </t>
  </si>
  <si>
    <t>Attending meeting with MoE and Tongan Ministry of Education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</si>
</sst>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/mm/yyyy;@"/>
  </numFmts>
  <fonts count="54">
    <font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1"/>
      <color indexed="8"/>
      <name val="Arial"/>
      <family val="2"/>
    </font>
    <font>
      <i/>
      <sz val="11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6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5" fillId="0" borderId="11" xfId="0" applyFont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0" fillId="35" borderId="11" xfId="0" applyFill="1" applyBorder="1" applyAlignment="1">
      <alignment wrapText="1"/>
    </xf>
    <xf numFmtId="0" fontId="45" fillId="0" borderId="10" xfId="0" applyFont="1" applyBorder="1" applyAlignment="1">
      <alignment wrapText="1"/>
    </xf>
    <xf numFmtId="0" fontId="0" fillId="35" borderId="11" xfId="0" applyFill="1" applyBorder="1" applyAlignment="1">
      <alignment/>
    </xf>
    <xf numFmtId="0" fontId="47" fillId="35" borderId="11" xfId="0" applyFont="1" applyFill="1" applyBorder="1" applyAlignment="1">
      <alignment horizontal="justify" wrapText="1"/>
    </xf>
    <xf numFmtId="0" fontId="45" fillId="0" borderId="12" xfId="0" applyFont="1" applyBorder="1" applyAlignment="1">
      <alignment wrapText="1"/>
    </xf>
    <xf numFmtId="0" fontId="0" fillId="33" borderId="11" xfId="0" applyFill="1" applyBorder="1" applyAlignment="1">
      <alignment/>
    </xf>
    <xf numFmtId="0" fontId="47" fillId="35" borderId="11" xfId="0" applyFont="1" applyFill="1" applyBorder="1" applyAlignment="1">
      <alignment horizontal="left" wrapText="1"/>
    </xf>
    <xf numFmtId="0" fontId="0" fillId="0" borderId="0" xfId="0" applyAlignment="1">
      <alignment vertical="center"/>
    </xf>
    <xf numFmtId="0" fontId="46" fillId="5" borderId="11" xfId="0" applyFont="1" applyFill="1" applyBorder="1" applyAlignment="1">
      <alignment wrapText="1"/>
    </xf>
    <xf numFmtId="0" fontId="0" fillId="5" borderId="0" xfId="0" applyFill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14" fontId="0" fillId="0" borderId="0" xfId="0" applyNumberFormat="1" applyAlignment="1">
      <alignment wrapText="1"/>
    </xf>
    <xf numFmtId="43" fontId="0" fillId="0" borderId="0" xfId="0" applyNumberFormat="1" applyAlignment="1">
      <alignment wrapText="1"/>
    </xf>
    <xf numFmtId="43" fontId="45" fillId="35" borderId="11" xfId="0" applyNumberFormat="1" applyFont="1" applyFill="1" applyBorder="1" applyAlignment="1">
      <alignment/>
    </xf>
    <xf numFmtId="43" fontId="45" fillId="0" borderId="10" xfId="0" applyNumberFormat="1" applyFont="1" applyBorder="1" applyAlignment="1">
      <alignment wrapText="1"/>
    </xf>
    <xf numFmtId="14" fontId="46" fillId="33" borderId="11" xfId="0" applyNumberFormat="1" applyFont="1" applyFill="1" applyBorder="1" applyAlignment="1">
      <alignment wrapText="1"/>
    </xf>
    <xf numFmtId="14" fontId="47" fillId="35" borderId="11" xfId="0" applyNumberFormat="1" applyFont="1" applyFill="1" applyBorder="1" applyAlignment="1">
      <alignment horizontal="justify" wrapText="1"/>
    </xf>
    <xf numFmtId="14" fontId="45" fillId="0" borderId="11" xfId="0" applyNumberFormat="1" applyFont="1" applyBorder="1" applyAlignment="1">
      <alignment horizontal="left" wrapText="1"/>
    </xf>
    <xf numFmtId="43" fontId="45" fillId="0" borderId="11" xfId="0" applyNumberFormat="1" applyFont="1" applyBorder="1" applyAlignment="1">
      <alignment horizontal="right" wrapText="1"/>
    </xf>
    <xf numFmtId="14" fontId="0" fillId="0" borderId="0" xfId="0" applyNumberFormat="1" applyAlignment="1">
      <alignment horizontal="left" vertical="top" wrapText="1"/>
    </xf>
    <xf numFmtId="4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46" fillId="33" borderId="11" xfId="0" applyNumberFormat="1" applyFont="1" applyFill="1" applyBorder="1" applyAlignment="1">
      <alignment horizontal="left" vertical="top" wrapText="1"/>
    </xf>
    <xf numFmtId="0" fontId="46" fillId="33" borderId="11" xfId="0" applyFont="1" applyFill="1" applyBorder="1" applyAlignment="1">
      <alignment vertical="top" wrapText="1"/>
    </xf>
    <xf numFmtId="14" fontId="45" fillId="0" borderId="11" xfId="0" applyNumberFormat="1" applyFont="1" applyBorder="1" applyAlignment="1">
      <alignment horizontal="left" vertical="top" wrapText="1"/>
    </xf>
    <xf numFmtId="43" fontId="45" fillId="0" borderId="11" xfId="0" applyNumberFormat="1" applyFont="1" applyBorder="1" applyAlignment="1">
      <alignment horizontal="right" vertical="top" wrapText="1"/>
    </xf>
    <xf numFmtId="0" fontId="45" fillId="0" borderId="11" xfId="0" applyFont="1" applyBorder="1" applyAlignment="1">
      <alignment vertical="top" wrapText="1"/>
    </xf>
    <xf numFmtId="14" fontId="46" fillId="34" borderId="11" xfId="0" applyNumberFormat="1" applyFont="1" applyFill="1" applyBorder="1" applyAlignment="1">
      <alignment horizontal="left" vertical="top" wrapText="1"/>
    </xf>
    <xf numFmtId="0" fontId="46" fillId="34" borderId="11" xfId="0" applyFont="1" applyFill="1" applyBorder="1" applyAlignment="1">
      <alignment vertical="top" wrapText="1"/>
    </xf>
    <xf numFmtId="0" fontId="48" fillId="0" borderId="0" xfId="0" applyFont="1" applyAlignment="1">
      <alignment vertical="top" wrapText="1"/>
    </xf>
    <xf numFmtId="43" fontId="45" fillId="0" borderId="11" xfId="0" applyNumberFormat="1" applyFont="1" applyBorder="1" applyAlignment="1">
      <alignment wrapText="1"/>
    </xf>
    <xf numFmtId="43" fontId="48" fillId="0" borderId="0" xfId="0" applyNumberFormat="1" applyFont="1" applyAlignment="1">
      <alignment wrapText="1"/>
    </xf>
    <xf numFmtId="0" fontId="48" fillId="0" borderId="0" xfId="0" applyFont="1" applyAlignment="1">
      <alignment wrapText="1"/>
    </xf>
    <xf numFmtId="43" fontId="0" fillId="0" borderId="11" xfId="0" applyNumberFormat="1" applyBorder="1" applyAlignment="1">
      <alignment wrapText="1"/>
    </xf>
    <xf numFmtId="14" fontId="48" fillId="0" borderId="0" xfId="0" applyNumberFormat="1" applyFont="1" applyAlignment="1">
      <alignment horizontal="left" vertical="top" wrapText="1"/>
    </xf>
    <xf numFmtId="43" fontId="48" fillId="0" borderId="0" xfId="0" applyNumberFormat="1" applyFont="1" applyAlignment="1">
      <alignment vertical="top" wrapText="1"/>
    </xf>
    <xf numFmtId="14" fontId="48" fillId="0" borderId="0" xfId="0" applyNumberFormat="1" applyFont="1" applyAlignment="1">
      <alignment horizontal="left" wrapText="1"/>
    </xf>
    <xf numFmtId="0" fontId="48" fillId="0" borderId="0" xfId="0" applyFont="1" applyAlignment="1">
      <alignment/>
    </xf>
    <xf numFmtId="14" fontId="48" fillId="0" borderId="0" xfId="0" applyNumberFormat="1" applyFont="1" applyAlignment="1">
      <alignment wrapText="1"/>
    </xf>
    <xf numFmtId="14" fontId="49" fillId="0" borderId="0" xfId="0" applyNumberFormat="1" applyFont="1" applyAlignment="1">
      <alignment horizontal="left" vertical="top" wrapText="1"/>
    </xf>
    <xf numFmtId="14" fontId="0" fillId="0" borderId="0" xfId="0" applyNumberFormat="1" applyFont="1" applyAlignment="1">
      <alignment horizontal="left" vertical="top" wrapText="1"/>
    </xf>
    <xf numFmtId="43" fontId="0" fillId="0" borderId="0" xfId="0" applyNumberFormat="1" applyFont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64" fontId="46" fillId="34" borderId="11" xfId="0" applyNumberFormat="1" applyFont="1" applyFill="1" applyBorder="1" applyAlignment="1">
      <alignment horizontal="left" wrapText="1"/>
    </xf>
    <xf numFmtId="164" fontId="45" fillId="0" borderId="11" xfId="0" applyNumberFormat="1" applyFont="1" applyBorder="1" applyAlignment="1">
      <alignment horizontal="left" wrapText="1"/>
    </xf>
    <xf numFmtId="164" fontId="0" fillId="0" borderId="0" xfId="0" applyNumberFormat="1" applyFont="1" applyAlignment="1">
      <alignment horizontal="left" wrapText="1"/>
    </xf>
    <xf numFmtId="164" fontId="46" fillId="5" borderId="11" xfId="0" applyNumberFormat="1" applyFont="1" applyFill="1" applyBorder="1" applyAlignment="1">
      <alignment horizontal="left" wrapText="1"/>
    </xf>
    <xf numFmtId="164" fontId="0" fillId="0" borderId="10" xfId="0" applyNumberForma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44" fontId="46" fillId="34" borderId="11" xfId="0" applyNumberFormat="1" applyFont="1" applyFill="1" applyBorder="1" applyAlignment="1">
      <alignment wrapText="1"/>
    </xf>
    <xf numFmtId="44" fontId="45" fillId="0" borderId="11" xfId="0" applyNumberFormat="1" applyFont="1" applyBorder="1" applyAlignment="1">
      <alignment wrapText="1"/>
    </xf>
    <xf numFmtId="44" fontId="0" fillId="0" borderId="0" xfId="0" applyNumberFormat="1" applyFont="1" applyAlignment="1">
      <alignment wrapText="1"/>
    </xf>
    <xf numFmtId="44" fontId="46" fillId="5" borderId="11" xfId="0" applyNumberFormat="1" applyFont="1" applyFill="1" applyBorder="1" applyAlignment="1">
      <alignment wrapText="1"/>
    </xf>
    <xf numFmtId="44" fontId="0" fillId="0" borderId="10" xfId="0" applyNumberFormat="1" applyBorder="1" applyAlignment="1">
      <alignment wrapText="1"/>
    </xf>
    <xf numFmtId="44" fontId="0" fillId="0" borderId="0" xfId="0" applyNumberFormat="1" applyAlignment="1">
      <alignment wrapText="1"/>
    </xf>
    <xf numFmtId="14" fontId="0" fillId="0" borderId="0" xfId="0" applyNumberFormat="1" applyFont="1" applyAlignment="1">
      <alignment horizontal="left" wrapText="1"/>
    </xf>
    <xf numFmtId="43" fontId="0" fillId="0" borderId="0" xfId="0" applyNumberFormat="1" applyFont="1" applyAlignment="1">
      <alignment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Alignment="1" quotePrefix="1">
      <alignment horizontal="left" vertical="top" wrapText="1"/>
    </xf>
    <xf numFmtId="49" fontId="48" fillId="0" borderId="0" xfId="0" applyNumberFormat="1" applyFont="1" applyAlignment="1">
      <alignment horizontal="left" vertical="top" wrapText="1"/>
    </xf>
    <xf numFmtId="14" fontId="48" fillId="0" borderId="0" xfId="0" applyNumberFormat="1" applyFont="1" applyBorder="1" applyAlignment="1">
      <alignment horizontal="left" vertical="top" wrapText="1"/>
    </xf>
    <xf numFmtId="0" fontId="48" fillId="0" borderId="0" xfId="0" applyFont="1" applyBorder="1" applyAlignment="1">
      <alignment vertical="top" wrapText="1"/>
    </xf>
    <xf numFmtId="0" fontId="48" fillId="0" borderId="0" xfId="0" applyFont="1" applyBorder="1" applyAlignment="1">
      <alignment wrapText="1"/>
    </xf>
    <xf numFmtId="43" fontId="48" fillId="0" borderId="0" xfId="0" applyNumberFormat="1" applyFont="1" applyBorder="1" applyAlignment="1">
      <alignment wrapText="1"/>
    </xf>
    <xf numFmtId="4" fontId="48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43" fontId="0" fillId="0" borderId="0" xfId="0" applyNumberFormat="1" applyFont="1" applyBorder="1" applyAlignment="1">
      <alignment horizontal="left" vertical="top" wrapText="1"/>
    </xf>
    <xf numFmtId="43" fontId="48" fillId="0" borderId="0" xfId="0" applyNumberFormat="1" applyFont="1" applyBorder="1" applyAlignment="1">
      <alignment horizontal="left" vertical="top" wrapText="1"/>
    </xf>
    <xf numFmtId="43" fontId="0" fillId="0" borderId="0" xfId="0" applyNumberFormat="1" applyFont="1" applyBorder="1" applyAlignment="1">
      <alignment horizontal="right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43" fontId="0" fillId="0" borderId="0" xfId="0" applyNumberFormat="1" applyFont="1" applyBorder="1" applyAlignment="1">
      <alignment wrapText="1"/>
    </xf>
    <xf numFmtId="14" fontId="0" fillId="0" borderId="0" xfId="0" applyNumberFormat="1" applyFont="1" applyFill="1" applyAlignment="1" quotePrefix="1">
      <alignment horizontal="left" vertical="top" wrapText="1"/>
    </xf>
    <xf numFmtId="14" fontId="0" fillId="0" borderId="0" xfId="0" applyNumberFormat="1" applyFont="1" applyFill="1" applyAlignment="1">
      <alignment horizontal="left" vertical="top" wrapText="1"/>
    </xf>
    <xf numFmtId="17" fontId="0" fillId="0" borderId="0" xfId="0" applyNumberFormat="1" applyFont="1" applyAlignment="1">
      <alignment horizontal="left" vertical="top" wrapText="1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Alignment="1">
      <alignment horizontal="right" vertical="top" wrapText="1"/>
    </xf>
    <xf numFmtId="0" fontId="46" fillId="34" borderId="11" xfId="0" applyFont="1" applyFill="1" applyBorder="1" applyAlignment="1">
      <alignment vertical="top" wrapText="1"/>
    </xf>
    <xf numFmtId="0" fontId="50" fillId="0" borderId="10" xfId="0" applyFont="1" applyBorder="1" applyAlignment="1">
      <alignment wrapText="1"/>
    </xf>
    <xf numFmtId="0" fontId="45" fillId="0" borderId="10" xfId="0" applyFont="1" applyBorder="1" applyAlignment="1">
      <alignment wrapText="1"/>
    </xf>
    <xf numFmtId="0" fontId="51" fillId="0" borderId="11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6" fillId="33" borderId="11" xfId="0" applyFont="1" applyFill="1" applyBorder="1" applyAlignment="1">
      <alignment wrapText="1"/>
    </xf>
    <xf numFmtId="0" fontId="46" fillId="33" borderId="11" xfId="0" applyFont="1" applyFill="1" applyBorder="1" applyAlignment="1">
      <alignment vertical="top" wrapText="1"/>
    </xf>
    <xf numFmtId="0" fontId="52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6" fillId="34" borderId="11" xfId="0" applyFont="1" applyFill="1" applyBorder="1" applyAlignment="1">
      <alignment wrapText="1"/>
    </xf>
    <xf numFmtId="0" fontId="46" fillId="5" borderId="11" xfId="0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53" fillId="0" borderId="11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55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22.28125" style="18" customWidth="1"/>
    <col min="2" max="2" width="23.140625" style="19" customWidth="1"/>
    <col min="3" max="3" width="57.7109375" style="2" customWidth="1"/>
    <col min="4" max="4" width="27.140625" style="2" customWidth="1"/>
    <col min="5" max="5" width="28.140625" style="2" customWidth="1"/>
    <col min="6" max="6" width="19.57421875" style="2" customWidth="1"/>
    <col min="7" max="7" width="28.421875" style="2" customWidth="1"/>
    <col min="8" max="16384" width="9.140625" style="2" customWidth="1"/>
  </cols>
  <sheetData>
    <row r="1" spans="1:5" s="7" customFormat="1" ht="36" customHeight="1">
      <c r="A1" s="91" t="s">
        <v>29</v>
      </c>
      <c r="B1" s="92"/>
      <c r="C1" s="92"/>
      <c r="D1" s="92"/>
      <c r="E1" s="92"/>
    </row>
    <row r="2" spans="1:4" s="3" customFormat="1" ht="35.25" customHeight="1">
      <c r="A2" s="93" t="s">
        <v>35</v>
      </c>
      <c r="B2" s="94"/>
      <c r="C2" s="93" t="s">
        <v>36</v>
      </c>
      <c r="D2" s="94"/>
    </row>
    <row r="3" spans="1:3" s="4" customFormat="1" ht="30.75" customHeight="1">
      <c r="A3" s="22" t="s">
        <v>3</v>
      </c>
      <c r="B3" s="95" t="s">
        <v>4</v>
      </c>
      <c r="C3" s="95"/>
    </row>
    <row r="4" spans="1:5" s="3" customFormat="1" ht="25.5">
      <c r="A4" s="24" t="s">
        <v>0</v>
      </c>
      <c r="B4" s="25" t="s">
        <v>2</v>
      </c>
      <c r="C4" s="3" t="s">
        <v>5</v>
      </c>
      <c r="D4" s="3" t="s">
        <v>6</v>
      </c>
      <c r="E4" s="3" t="s">
        <v>1</v>
      </c>
    </row>
    <row r="5" spans="1:2" s="28" customFormat="1" ht="12.75">
      <c r="A5" s="26" t="s">
        <v>34</v>
      </c>
      <c r="B5" s="27">
        <v>0</v>
      </c>
    </row>
    <row r="6" spans="1:2" s="28" customFormat="1" ht="12.75">
      <c r="A6" s="26"/>
      <c r="B6" s="27"/>
    </row>
    <row r="7" spans="1:3" s="30" customFormat="1" ht="27" customHeight="1">
      <c r="A7" s="29" t="s">
        <v>3</v>
      </c>
      <c r="B7" s="96" t="s">
        <v>7</v>
      </c>
      <c r="C7" s="96"/>
    </row>
    <row r="8" spans="1:2" s="33" customFormat="1" ht="12.75">
      <c r="A8" s="31" t="s">
        <v>0</v>
      </c>
      <c r="B8" s="32" t="s">
        <v>2</v>
      </c>
    </row>
    <row r="9" spans="1:2" s="28" customFormat="1" ht="12.75">
      <c r="A9" s="26" t="s">
        <v>34</v>
      </c>
      <c r="B9" s="27">
        <v>0</v>
      </c>
    </row>
    <row r="10" spans="1:2" s="28" customFormat="1" ht="12.75">
      <c r="A10" s="26"/>
      <c r="B10" s="27"/>
    </row>
    <row r="11" spans="1:3" s="35" customFormat="1" ht="21.75" customHeight="1">
      <c r="A11" s="34" t="s">
        <v>8</v>
      </c>
      <c r="B11" s="90" t="s">
        <v>4</v>
      </c>
      <c r="C11" s="90"/>
    </row>
    <row r="12" spans="1:5" s="33" customFormat="1" ht="25.5" customHeight="1">
      <c r="A12" s="31" t="s">
        <v>0</v>
      </c>
      <c r="B12" s="32" t="s">
        <v>2</v>
      </c>
      <c r="C12" s="33" t="s">
        <v>24</v>
      </c>
      <c r="D12" s="33" t="s">
        <v>6</v>
      </c>
      <c r="E12" s="33" t="s">
        <v>1</v>
      </c>
    </row>
    <row r="13" spans="1:5" s="78" customFormat="1" ht="12.75" customHeight="1">
      <c r="A13" s="47" t="s">
        <v>43</v>
      </c>
      <c r="B13" s="79">
        <v>3.5</v>
      </c>
      <c r="C13" s="88" t="s">
        <v>212</v>
      </c>
      <c r="D13" s="78" t="s">
        <v>47</v>
      </c>
      <c r="E13" s="78" t="s">
        <v>44</v>
      </c>
    </row>
    <row r="14" spans="1:5" s="78" customFormat="1" ht="12.75">
      <c r="A14" s="77" t="s">
        <v>43</v>
      </c>
      <c r="B14" s="81">
        <v>37.9</v>
      </c>
      <c r="C14" s="78" t="s">
        <v>231</v>
      </c>
      <c r="D14" s="78" t="s">
        <v>49</v>
      </c>
      <c r="E14" s="78" t="s">
        <v>50</v>
      </c>
    </row>
    <row r="15" spans="1:5" s="49" customFormat="1" ht="12.75">
      <c r="A15" s="47" t="s">
        <v>79</v>
      </c>
      <c r="B15" s="48">
        <v>11</v>
      </c>
      <c r="C15" s="88" t="s">
        <v>212</v>
      </c>
      <c r="D15" s="78" t="s">
        <v>47</v>
      </c>
      <c r="E15" s="49" t="s">
        <v>44</v>
      </c>
    </row>
    <row r="16" spans="1:5" s="49" customFormat="1" ht="12.75">
      <c r="A16" s="47" t="s">
        <v>80</v>
      </c>
      <c r="B16" s="48">
        <f>259</f>
        <v>259</v>
      </c>
      <c r="C16" s="49" t="s">
        <v>167</v>
      </c>
      <c r="D16" s="49" t="s">
        <v>59</v>
      </c>
      <c r="E16" s="49" t="s">
        <v>81</v>
      </c>
    </row>
    <row r="17" spans="1:5" s="49" customFormat="1" ht="12.75">
      <c r="A17" s="47" t="s">
        <v>114</v>
      </c>
      <c r="B17" s="48">
        <f>12.5</f>
        <v>12.5</v>
      </c>
      <c r="C17" s="49" t="s">
        <v>125</v>
      </c>
      <c r="D17" s="49" t="s">
        <v>47</v>
      </c>
      <c r="E17" s="49" t="s">
        <v>44</v>
      </c>
    </row>
    <row r="18" spans="1:5" s="49" customFormat="1" ht="12.75">
      <c r="A18" s="47" t="s">
        <v>133</v>
      </c>
      <c r="B18" s="48">
        <v>32.15</v>
      </c>
      <c r="C18" s="88" t="s">
        <v>212</v>
      </c>
      <c r="D18" s="49" t="s">
        <v>126</v>
      </c>
      <c r="E18" s="49" t="s">
        <v>44</v>
      </c>
    </row>
    <row r="19" spans="1:5" s="49" customFormat="1" ht="12.75">
      <c r="A19" s="87" t="s">
        <v>157</v>
      </c>
      <c r="B19" s="48">
        <f>10.5</f>
        <v>10.5</v>
      </c>
      <c r="C19" s="49" t="s">
        <v>158</v>
      </c>
      <c r="D19" s="49" t="s">
        <v>47</v>
      </c>
      <c r="E19" s="49" t="s">
        <v>44</v>
      </c>
    </row>
    <row r="20" spans="1:2" s="36" customFormat="1" ht="12.75">
      <c r="A20" s="41"/>
      <c r="B20" s="42"/>
    </row>
    <row r="21" spans="1:2" s="36" customFormat="1" ht="12.75" hidden="1">
      <c r="A21" s="41"/>
      <c r="B21" s="42"/>
    </row>
    <row r="22" spans="1:6" s="39" customFormat="1" ht="12.75" customHeight="1" hidden="1">
      <c r="A22" s="41"/>
      <c r="B22" s="80"/>
      <c r="D22" s="36"/>
      <c r="E22" s="36"/>
      <c r="F22" s="36"/>
    </row>
    <row r="23" spans="1:2" s="36" customFormat="1" ht="12.75" hidden="1">
      <c r="A23" s="68"/>
      <c r="B23" s="42"/>
    </row>
    <row r="24" spans="1:2" s="49" customFormat="1" ht="12.75" hidden="1">
      <c r="A24" s="47"/>
      <c r="B24" s="48"/>
    </row>
    <row r="25" spans="1:2" s="36" customFormat="1" ht="12.75" hidden="1">
      <c r="A25" s="46" t="s">
        <v>30</v>
      </c>
      <c r="B25" s="42">
        <f>SUM(B13:B24)</f>
        <v>366.54999999999995</v>
      </c>
    </row>
    <row r="26" spans="1:2" s="28" customFormat="1" ht="12.75">
      <c r="A26" s="26"/>
      <c r="B26" s="27"/>
    </row>
    <row r="27" spans="1:3" s="35" customFormat="1" ht="30" customHeight="1">
      <c r="A27" s="34" t="s">
        <v>9</v>
      </c>
      <c r="B27" s="90" t="s">
        <v>7</v>
      </c>
      <c r="C27" s="90"/>
    </row>
    <row r="28" spans="1:5" s="33" customFormat="1" ht="25.5">
      <c r="A28" s="31" t="s">
        <v>0</v>
      </c>
      <c r="B28" s="32" t="s">
        <v>2</v>
      </c>
      <c r="C28" s="33" t="s">
        <v>24</v>
      </c>
      <c r="D28" s="33" t="s">
        <v>6</v>
      </c>
      <c r="E28" s="33" t="s">
        <v>1</v>
      </c>
    </row>
    <row r="29" spans="1:2" s="70" customFormat="1" ht="12.75" customHeight="1">
      <c r="A29" s="41"/>
      <c r="B29" s="69"/>
    </row>
    <row r="30" spans="1:5" s="49" customFormat="1" ht="12.75">
      <c r="A30" s="47" t="s">
        <v>37</v>
      </c>
      <c r="B30" s="48">
        <f>149.01</f>
        <v>149.01</v>
      </c>
      <c r="C30" s="83" t="s">
        <v>146</v>
      </c>
      <c r="D30" s="49" t="s">
        <v>31</v>
      </c>
      <c r="E30" s="49" t="s">
        <v>33</v>
      </c>
    </row>
    <row r="31" spans="1:5" s="49" customFormat="1" ht="12.75">
      <c r="A31" s="47" t="s">
        <v>37</v>
      </c>
      <c r="B31" s="48">
        <f>67.82+46.66</f>
        <v>114.47999999999999</v>
      </c>
      <c r="C31" s="49" t="s">
        <v>177</v>
      </c>
      <c r="D31" s="49" t="s">
        <v>49</v>
      </c>
      <c r="E31" s="49" t="s">
        <v>33</v>
      </c>
    </row>
    <row r="32" spans="1:5" s="49" customFormat="1" ht="12.75">
      <c r="A32" s="47" t="s">
        <v>42</v>
      </c>
      <c r="B32" s="48">
        <v>7.45</v>
      </c>
      <c r="C32" s="49" t="s">
        <v>178</v>
      </c>
      <c r="D32" s="49" t="s">
        <v>49</v>
      </c>
      <c r="E32" s="49" t="s">
        <v>50</v>
      </c>
    </row>
    <row r="33" spans="1:5" s="49" customFormat="1" ht="12.75">
      <c r="A33" s="47" t="s">
        <v>70</v>
      </c>
      <c r="B33" s="48">
        <v>11.23</v>
      </c>
      <c r="C33" s="49" t="s">
        <v>179</v>
      </c>
      <c r="D33" s="49" t="s">
        <v>49</v>
      </c>
      <c r="E33" s="49" t="s">
        <v>50</v>
      </c>
    </row>
    <row r="34" spans="1:5" s="49" customFormat="1" ht="12.75">
      <c r="A34" s="47" t="s">
        <v>68</v>
      </c>
      <c r="B34" s="48">
        <v>20.3</v>
      </c>
      <c r="C34" s="49" t="s">
        <v>180</v>
      </c>
      <c r="D34" s="49" t="s">
        <v>49</v>
      </c>
      <c r="E34" s="49" t="s">
        <v>50</v>
      </c>
    </row>
    <row r="35" spans="1:5" s="49" customFormat="1" ht="12.75">
      <c r="A35" s="47" t="s">
        <v>71</v>
      </c>
      <c r="B35" s="48">
        <f>444+5+10.01-220.15</f>
        <v>238.85999999999999</v>
      </c>
      <c r="C35" s="49" t="s">
        <v>170</v>
      </c>
      <c r="D35" s="49" t="s">
        <v>31</v>
      </c>
      <c r="E35" s="49" t="s">
        <v>32</v>
      </c>
    </row>
    <row r="36" spans="1:5" s="49" customFormat="1" ht="12.75">
      <c r="A36" s="47" t="s">
        <v>68</v>
      </c>
      <c r="B36" s="48">
        <f>87.8</f>
        <v>87.8</v>
      </c>
      <c r="C36" s="49" t="s">
        <v>181</v>
      </c>
      <c r="D36" s="49" t="s">
        <v>49</v>
      </c>
      <c r="E36" s="49" t="s">
        <v>44</v>
      </c>
    </row>
    <row r="37" spans="1:5" s="49" customFormat="1" ht="12.75">
      <c r="A37" s="67" t="s">
        <v>67</v>
      </c>
      <c r="B37" s="48">
        <f>124+19.4</f>
        <v>143.4</v>
      </c>
      <c r="C37" s="49" t="s">
        <v>117</v>
      </c>
      <c r="D37" s="49" t="s">
        <v>31</v>
      </c>
      <c r="E37" s="49" t="s">
        <v>32</v>
      </c>
    </row>
    <row r="38" spans="1:5" s="49" customFormat="1" ht="25.5">
      <c r="A38" s="67" t="s">
        <v>38</v>
      </c>
      <c r="B38" s="48">
        <f>11.66+36.61</f>
        <v>48.269999999999996</v>
      </c>
      <c r="C38" s="49" t="s">
        <v>182</v>
      </c>
      <c r="D38" s="49" t="s">
        <v>49</v>
      </c>
      <c r="E38" s="49" t="s">
        <v>50</v>
      </c>
    </row>
    <row r="39" spans="1:5" s="49" customFormat="1" ht="25.5">
      <c r="A39" s="67" t="s">
        <v>69</v>
      </c>
      <c r="B39" s="48">
        <f>75.17+41.36</f>
        <v>116.53</v>
      </c>
      <c r="C39" s="49" t="s">
        <v>183</v>
      </c>
      <c r="D39" s="49" t="s">
        <v>49</v>
      </c>
      <c r="E39" s="49" t="s">
        <v>44</v>
      </c>
    </row>
    <row r="40" spans="1:5" s="49" customFormat="1" ht="12.75">
      <c r="A40" s="67" t="s">
        <v>72</v>
      </c>
      <c r="B40" s="48">
        <f>80.14</f>
        <v>80.14</v>
      </c>
      <c r="C40" s="49" t="s">
        <v>181</v>
      </c>
      <c r="D40" s="49" t="s">
        <v>49</v>
      </c>
      <c r="E40" s="49" t="s">
        <v>44</v>
      </c>
    </row>
    <row r="41" spans="1:5" s="49" customFormat="1" ht="12.75">
      <c r="A41" s="67" t="s">
        <v>56</v>
      </c>
      <c r="B41" s="48">
        <v>73.84</v>
      </c>
      <c r="C41" s="49" t="s">
        <v>57</v>
      </c>
      <c r="D41" s="49" t="s">
        <v>169</v>
      </c>
      <c r="E41" s="49" t="s">
        <v>44</v>
      </c>
    </row>
    <row r="42" spans="1:5" s="49" customFormat="1" ht="12.75">
      <c r="A42" s="67" t="s">
        <v>64</v>
      </c>
      <c r="B42" s="48">
        <f>371</f>
        <v>371</v>
      </c>
      <c r="C42" s="83" t="s">
        <v>146</v>
      </c>
      <c r="D42" s="49" t="s">
        <v>31</v>
      </c>
      <c r="E42" s="49" t="s">
        <v>33</v>
      </c>
    </row>
    <row r="43" spans="1:5" s="49" customFormat="1" ht="12.75">
      <c r="A43" s="67" t="s">
        <v>64</v>
      </c>
      <c r="B43" s="48">
        <v>39.96</v>
      </c>
      <c r="C43" s="49" t="s">
        <v>185</v>
      </c>
      <c r="D43" s="49" t="s">
        <v>49</v>
      </c>
      <c r="E43" s="49" t="s">
        <v>50</v>
      </c>
    </row>
    <row r="44" spans="1:5" s="49" customFormat="1" ht="12.75" customHeight="1">
      <c r="A44" s="67" t="s">
        <v>65</v>
      </c>
      <c r="B44" s="48">
        <f>615+259+5</f>
        <v>879</v>
      </c>
      <c r="C44" s="49" t="s">
        <v>171</v>
      </c>
      <c r="D44" s="49" t="s">
        <v>31</v>
      </c>
      <c r="E44" s="49" t="s">
        <v>66</v>
      </c>
    </row>
    <row r="45" spans="1:5" s="49" customFormat="1" ht="12.75">
      <c r="A45" s="67" t="s">
        <v>58</v>
      </c>
      <c r="B45" s="48">
        <f>159</f>
        <v>159</v>
      </c>
      <c r="C45" s="49" t="s">
        <v>171</v>
      </c>
      <c r="D45" s="49" t="s">
        <v>59</v>
      </c>
      <c r="E45" s="49" t="s">
        <v>60</v>
      </c>
    </row>
    <row r="46" spans="1:5" s="49" customFormat="1" ht="12.75">
      <c r="A46" s="67" t="s">
        <v>58</v>
      </c>
      <c r="B46" s="48">
        <f>33.48+31.32</f>
        <v>64.8</v>
      </c>
      <c r="C46" s="49" t="s">
        <v>184</v>
      </c>
      <c r="D46" s="49" t="s">
        <v>49</v>
      </c>
      <c r="E46" s="49" t="s">
        <v>50</v>
      </c>
    </row>
    <row r="47" spans="1:5" s="49" customFormat="1" ht="12.75">
      <c r="A47" s="67" t="s">
        <v>45</v>
      </c>
      <c r="B47" s="48">
        <f>185+5</f>
        <v>190</v>
      </c>
      <c r="C47" s="83" t="s">
        <v>146</v>
      </c>
      <c r="D47" s="49" t="s">
        <v>31</v>
      </c>
      <c r="E47" s="49" t="s">
        <v>33</v>
      </c>
    </row>
    <row r="48" spans="1:5" s="49" customFormat="1" ht="12.75">
      <c r="A48" s="67" t="s">
        <v>45</v>
      </c>
      <c r="B48" s="48">
        <f>32.5</f>
        <v>32.5</v>
      </c>
      <c r="C48" s="49" t="s">
        <v>46</v>
      </c>
      <c r="D48" s="49" t="s">
        <v>47</v>
      </c>
      <c r="E48" s="49" t="s">
        <v>44</v>
      </c>
    </row>
    <row r="49" spans="1:5" s="49" customFormat="1" ht="12.75">
      <c r="A49" s="67" t="s">
        <v>48</v>
      </c>
      <c r="B49" s="48">
        <f>18</f>
        <v>18</v>
      </c>
      <c r="C49" s="49" t="s">
        <v>51</v>
      </c>
      <c r="D49" s="49" t="s">
        <v>49</v>
      </c>
      <c r="E49" s="49" t="s">
        <v>50</v>
      </c>
    </row>
    <row r="50" spans="1:5" s="49" customFormat="1" ht="12.75">
      <c r="A50" s="67" t="s">
        <v>41</v>
      </c>
      <c r="B50" s="48">
        <f>42.34</f>
        <v>42.34</v>
      </c>
      <c r="C50" s="49" t="s">
        <v>185</v>
      </c>
      <c r="D50" s="49" t="s">
        <v>49</v>
      </c>
      <c r="E50" s="49" t="s">
        <v>50</v>
      </c>
    </row>
    <row r="51" spans="1:5" s="49" customFormat="1" ht="12.75">
      <c r="A51" s="47" t="s">
        <v>39</v>
      </c>
      <c r="B51" s="48">
        <f>350</f>
        <v>350</v>
      </c>
      <c r="C51" s="49" t="s">
        <v>40</v>
      </c>
      <c r="D51" s="49" t="s">
        <v>31</v>
      </c>
      <c r="E51" s="49" t="s">
        <v>32</v>
      </c>
    </row>
    <row r="52" spans="1:5" s="49" customFormat="1" ht="12.75">
      <c r="A52" s="67" t="s">
        <v>52</v>
      </c>
      <c r="B52" s="48">
        <f>36</f>
        <v>36</v>
      </c>
      <c r="C52" s="49" t="s">
        <v>40</v>
      </c>
      <c r="D52" s="49" t="s">
        <v>53</v>
      </c>
      <c r="E52" s="49" t="s">
        <v>44</v>
      </c>
    </row>
    <row r="53" spans="1:5" s="49" customFormat="1" ht="12.75" customHeight="1">
      <c r="A53" s="67" t="s">
        <v>76</v>
      </c>
      <c r="B53" s="48">
        <f>11.88+8.32</f>
        <v>20.200000000000003</v>
      </c>
      <c r="C53" s="49" t="s">
        <v>186</v>
      </c>
      <c r="D53" s="49" t="s">
        <v>49</v>
      </c>
      <c r="E53" s="49" t="s">
        <v>50</v>
      </c>
    </row>
    <row r="54" spans="1:5" s="49" customFormat="1" ht="12.75">
      <c r="A54" s="67" t="s">
        <v>73</v>
      </c>
      <c r="B54" s="48">
        <v>34.45</v>
      </c>
      <c r="C54" s="49" t="s">
        <v>185</v>
      </c>
      <c r="D54" s="49" t="s">
        <v>49</v>
      </c>
      <c r="E54" s="49" t="s">
        <v>50</v>
      </c>
    </row>
    <row r="55" spans="1:5" s="49" customFormat="1" ht="25.5">
      <c r="A55" s="67" t="s">
        <v>61</v>
      </c>
      <c r="B55" s="48">
        <f>384+371</f>
        <v>755</v>
      </c>
      <c r="C55" s="49" t="s">
        <v>103</v>
      </c>
      <c r="D55" s="49" t="s">
        <v>31</v>
      </c>
      <c r="E55" s="49" t="s">
        <v>32</v>
      </c>
    </row>
    <row r="56" spans="1:7" s="83" customFormat="1" ht="25.5">
      <c r="A56" s="67" t="s">
        <v>75</v>
      </c>
      <c r="B56" s="82">
        <v>11.66</v>
      </c>
      <c r="C56" s="83" t="s">
        <v>77</v>
      </c>
      <c r="D56" s="49" t="s">
        <v>49</v>
      </c>
      <c r="E56" s="83" t="s">
        <v>44</v>
      </c>
      <c r="G56" s="49"/>
    </row>
    <row r="57" spans="1:7" s="83" customFormat="1" ht="25.5">
      <c r="A57" s="67" t="s">
        <v>75</v>
      </c>
      <c r="B57" s="82">
        <v>10.37</v>
      </c>
      <c r="C57" s="83" t="s">
        <v>78</v>
      </c>
      <c r="D57" s="49" t="s">
        <v>49</v>
      </c>
      <c r="E57" s="83" t="s">
        <v>44</v>
      </c>
      <c r="G57" s="49"/>
    </row>
    <row r="58" spans="1:5" s="49" customFormat="1" ht="12.75">
      <c r="A58" s="67" t="s">
        <v>54</v>
      </c>
      <c r="B58" s="48">
        <f>55.8</f>
        <v>55.8</v>
      </c>
      <c r="C58" s="49" t="s">
        <v>55</v>
      </c>
      <c r="D58" s="49" t="s">
        <v>169</v>
      </c>
      <c r="E58" s="49" t="s">
        <v>44</v>
      </c>
    </row>
    <row r="59" spans="1:5" s="49" customFormat="1" ht="12.75">
      <c r="A59" s="67" t="s">
        <v>43</v>
      </c>
      <c r="B59" s="48">
        <f>24.8</f>
        <v>24.8</v>
      </c>
      <c r="C59" s="49" t="s">
        <v>172</v>
      </c>
      <c r="D59" s="49" t="s">
        <v>169</v>
      </c>
      <c r="E59" s="49" t="s">
        <v>44</v>
      </c>
    </row>
    <row r="60" spans="1:7" s="83" customFormat="1" ht="12.75">
      <c r="A60" s="67" t="s">
        <v>43</v>
      </c>
      <c r="B60" s="82">
        <v>19.01</v>
      </c>
      <c r="C60" s="83" t="s">
        <v>187</v>
      </c>
      <c r="D60" s="49" t="s">
        <v>49</v>
      </c>
      <c r="E60" s="83" t="s">
        <v>50</v>
      </c>
      <c r="G60" s="49"/>
    </row>
    <row r="61" spans="1:7" s="83" customFormat="1" ht="25.5">
      <c r="A61" s="67" t="s">
        <v>74</v>
      </c>
      <c r="B61" s="82">
        <f>10.8+29.48</f>
        <v>40.28</v>
      </c>
      <c r="C61" s="83" t="s">
        <v>188</v>
      </c>
      <c r="D61" s="49" t="s">
        <v>49</v>
      </c>
      <c r="E61" s="83" t="s">
        <v>50</v>
      </c>
      <c r="G61" s="49"/>
    </row>
    <row r="62" spans="1:5" s="49" customFormat="1" ht="25.5">
      <c r="A62" s="67" t="s">
        <v>62</v>
      </c>
      <c r="B62" s="48">
        <f>297</f>
        <v>297</v>
      </c>
      <c r="C62" s="49" t="s">
        <v>190</v>
      </c>
      <c r="D62" s="49" t="s">
        <v>31</v>
      </c>
      <c r="E62" s="49" t="s">
        <v>63</v>
      </c>
    </row>
    <row r="63" spans="1:5" s="49" customFormat="1" ht="12.75">
      <c r="A63" s="67" t="s">
        <v>62</v>
      </c>
      <c r="B63" s="48">
        <v>36.72</v>
      </c>
      <c r="C63" s="49" t="s">
        <v>185</v>
      </c>
      <c r="D63" s="49" t="s">
        <v>49</v>
      </c>
      <c r="E63" s="49" t="s">
        <v>50</v>
      </c>
    </row>
    <row r="64" spans="1:7" s="83" customFormat="1" ht="12.75">
      <c r="A64" s="67" t="s">
        <v>97</v>
      </c>
      <c r="B64" s="82">
        <f>519</f>
        <v>519</v>
      </c>
      <c r="C64" s="83" t="s">
        <v>170</v>
      </c>
      <c r="D64" s="49" t="s">
        <v>31</v>
      </c>
      <c r="E64" s="83" t="s">
        <v>32</v>
      </c>
      <c r="G64" s="49"/>
    </row>
    <row r="65" spans="1:7" s="83" customFormat="1" ht="12.75">
      <c r="A65" s="67" t="s">
        <v>91</v>
      </c>
      <c r="B65" s="82">
        <f>21.6</f>
        <v>21.6</v>
      </c>
      <c r="C65" s="83" t="s">
        <v>189</v>
      </c>
      <c r="D65" s="49" t="s">
        <v>49</v>
      </c>
      <c r="E65" s="83" t="s">
        <v>44</v>
      </c>
      <c r="G65" s="49"/>
    </row>
    <row r="66" spans="1:7" s="83" customFormat="1" ht="12.75">
      <c r="A66" s="67" t="s">
        <v>91</v>
      </c>
      <c r="B66" s="82">
        <f>21.82</f>
        <v>21.82</v>
      </c>
      <c r="C66" s="83" t="s">
        <v>191</v>
      </c>
      <c r="D66" s="49" t="s">
        <v>49</v>
      </c>
      <c r="E66" s="83" t="s">
        <v>44</v>
      </c>
      <c r="G66" s="49"/>
    </row>
    <row r="67" spans="1:7" s="83" customFormat="1" ht="12.75">
      <c r="A67" s="67" t="s">
        <v>91</v>
      </c>
      <c r="B67" s="82">
        <f>36.07</f>
        <v>36.07</v>
      </c>
      <c r="C67" s="49" t="s">
        <v>185</v>
      </c>
      <c r="D67" s="49" t="s">
        <v>49</v>
      </c>
      <c r="E67" s="83" t="s">
        <v>50</v>
      </c>
      <c r="G67" s="49"/>
    </row>
    <row r="68" spans="1:7" s="83" customFormat="1" ht="12.75">
      <c r="A68" s="67" t="s">
        <v>90</v>
      </c>
      <c r="B68" s="82">
        <f>42.66+88.56</f>
        <v>131.22</v>
      </c>
      <c r="C68" s="49" t="s">
        <v>177</v>
      </c>
      <c r="D68" s="49" t="s">
        <v>49</v>
      </c>
      <c r="E68" s="83" t="s">
        <v>50</v>
      </c>
      <c r="G68" s="49"/>
    </row>
    <row r="69" spans="1:7" s="83" customFormat="1" ht="12.75">
      <c r="A69" s="67" t="s">
        <v>79</v>
      </c>
      <c r="B69" s="82">
        <f>77.76+45.9</f>
        <v>123.66</v>
      </c>
      <c r="C69" s="83" t="s">
        <v>177</v>
      </c>
      <c r="D69" s="49" t="s">
        <v>49</v>
      </c>
      <c r="E69" s="83" t="s">
        <v>44</v>
      </c>
      <c r="G69" s="49"/>
    </row>
    <row r="70" spans="1:7" s="83" customFormat="1" ht="12.75">
      <c r="A70" s="67" t="s">
        <v>79</v>
      </c>
      <c r="B70" s="82">
        <f>222</f>
        <v>222</v>
      </c>
      <c r="C70" s="83" t="s">
        <v>173</v>
      </c>
      <c r="D70" s="49" t="s">
        <v>31</v>
      </c>
      <c r="E70" s="83" t="s">
        <v>33</v>
      </c>
      <c r="G70" s="49"/>
    </row>
    <row r="71" spans="1:7" s="83" customFormat="1" ht="12.75">
      <c r="A71" s="67" t="s">
        <v>79</v>
      </c>
      <c r="B71" s="82">
        <f>10.8</f>
        <v>10.8</v>
      </c>
      <c r="C71" s="83" t="s">
        <v>193</v>
      </c>
      <c r="D71" s="49" t="s">
        <v>49</v>
      </c>
      <c r="E71" s="83" t="s">
        <v>50</v>
      </c>
      <c r="G71" s="49"/>
    </row>
    <row r="72" spans="1:7" s="83" customFormat="1" ht="12.75">
      <c r="A72" s="67" t="s">
        <v>79</v>
      </c>
      <c r="B72" s="82">
        <f>47.2</f>
        <v>47.2</v>
      </c>
      <c r="C72" s="49" t="s">
        <v>185</v>
      </c>
      <c r="D72" s="49" t="s">
        <v>49</v>
      </c>
      <c r="E72" s="83" t="s">
        <v>50</v>
      </c>
      <c r="G72" s="49"/>
    </row>
    <row r="73" spans="1:7" s="83" customFormat="1" ht="12.75">
      <c r="A73" s="67" t="s">
        <v>96</v>
      </c>
      <c r="B73" s="82">
        <f>630</f>
        <v>630</v>
      </c>
      <c r="C73" s="83" t="s">
        <v>174</v>
      </c>
      <c r="D73" s="49" t="s">
        <v>31</v>
      </c>
      <c r="E73" s="83" t="s">
        <v>32</v>
      </c>
      <c r="G73" s="49"/>
    </row>
    <row r="74" spans="1:7" s="83" customFormat="1" ht="12.75">
      <c r="A74" s="67" t="s">
        <v>79</v>
      </c>
      <c r="B74" s="82">
        <f>86.621</f>
        <v>86.621</v>
      </c>
      <c r="C74" s="83" t="s">
        <v>194</v>
      </c>
      <c r="D74" s="49" t="s">
        <v>49</v>
      </c>
      <c r="E74" s="83" t="s">
        <v>44</v>
      </c>
      <c r="G74" s="49"/>
    </row>
    <row r="75" spans="1:7" s="83" customFormat="1" ht="12.75">
      <c r="A75" s="67" t="s">
        <v>79</v>
      </c>
      <c r="B75" s="82">
        <f>26.14+27.22</f>
        <v>53.36</v>
      </c>
      <c r="C75" s="83" t="s">
        <v>195</v>
      </c>
      <c r="D75" s="49" t="s">
        <v>49</v>
      </c>
      <c r="E75" s="83" t="s">
        <v>44</v>
      </c>
      <c r="G75" s="49"/>
    </row>
    <row r="76" spans="1:7" s="83" customFormat="1" ht="12.75">
      <c r="A76" s="67" t="s">
        <v>92</v>
      </c>
      <c r="B76" s="82">
        <f>56.92</f>
        <v>56.92</v>
      </c>
      <c r="C76" s="49" t="s">
        <v>185</v>
      </c>
      <c r="D76" s="49" t="s">
        <v>49</v>
      </c>
      <c r="E76" s="83" t="s">
        <v>50</v>
      </c>
      <c r="G76" s="49"/>
    </row>
    <row r="77" spans="1:7" s="83" customFormat="1" ht="12.75">
      <c r="A77" s="67" t="s">
        <v>99</v>
      </c>
      <c r="B77" s="82">
        <f>333.99</f>
        <v>333.99</v>
      </c>
      <c r="C77" s="83" t="s">
        <v>170</v>
      </c>
      <c r="D77" s="49" t="s">
        <v>31</v>
      </c>
      <c r="E77" s="83" t="s">
        <v>98</v>
      </c>
      <c r="G77" s="49"/>
    </row>
    <row r="78" spans="1:7" s="83" customFormat="1" ht="12.75">
      <c r="A78" s="67" t="s">
        <v>88</v>
      </c>
      <c r="B78" s="82">
        <f>39.64</f>
        <v>39.64</v>
      </c>
      <c r="C78" s="49" t="s">
        <v>185</v>
      </c>
      <c r="D78" s="49" t="s">
        <v>49</v>
      </c>
      <c r="E78" s="83" t="s">
        <v>50</v>
      </c>
      <c r="G78" s="49"/>
    </row>
    <row r="79" spans="1:7" s="83" customFormat="1" ht="12.75">
      <c r="A79" s="67">
        <v>41352</v>
      </c>
      <c r="B79" s="82">
        <f>418</f>
        <v>418</v>
      </c>
      <c r="C79" s="49" t="s">
        <v>167</v>
      </c>
      <c r="D79" s="49" t="s">
        <v>31</v>
      </c>
      <c r="E79" s="83" t="s">
        <v>100</v>
      </c>
      <c r="G79" s="49"/>
    </row>
    <row r="80" spans="1:7" s="83" customFormat="1" ht="12.75">
      <c r="A80" s="67" t="s">
        <v>80</v>
      </c>
      <c r="B80" s="82">
        <f>87.91</f>
        <v>87.91</v>
      </c>
      <c r="C80" s="49" t="s">
        <v>196</v>
      </c>
      <c r="D80" s="49" t="s">
        <v>49</v>
      </c>
      <c r="E80" s="83" t="s">
        <v>81</v>
      </c>
      <c r="G80" s="49"/>
    </row>
    <row r="81" spans="1:7" s="83" customFormat="1" ht="12.75">
      <c r="A81" s="67" t="s">
        <v>80</v>
      </c>
      <c r="B81" s="82">
        <f>5.25</f>
        <v>5.25</v>
      </c>
      <c r="C81" s="83" t="s">
        <v>83</v>
      </c>
      <c r="D81" s="49" t="s">
        <v>84</v>
      </c>
      <c r="E81" s="83" t="s">
        <v>81</v>
      </c>
      <c r="G81" s="49"/>
    </row>
    <row r="82" spans="1:7" s="83" customFormat="1" ht="12.75">
      <c r="A82" s="67">
        <v>41353</v>
      </c>
      <c r="B82" s="82">
        <f>297</f>
        <v>297</v>
      </c>
      <c r="C82" s="49" t="s">
        <v>175</v>
      </c>
      <c r="D82" s="49" t="s">
        <v>31</v>
      </c>
      <c r="E82" s="83" t="s">
        <v>101</v>
      </c>
      <c r="G82" s="49"/>
    </row>
    <row r="83" spans="1:7" s="83" customFormat="1" ht="25.5">
      <c r="A83" s="67" t="s">
        <v>86</v>
      </c>
      <c r="B83" s="82">
        <f>7.67+11.45</f>
        <v>19.119999999999997</v>
      </c>
      <c r="C83" s="83" t="s">
        <v>197</v>
      </c>
      <c r="D83" s="49" t="s">
        <v>49</v>
      </c>
      <c r="E83" s="83" t="s">
        <v>50</v>
      </c>
      <c r="G83" s="49"/>
    </row>
    <row r="84" spans="1:7" s="83" customFormat="1" ht="12.75">
      <c r="A84" s="67" t="s">
        <v>86</v>
      </c>
      <c r="B84" s="82">
        <f>39.96+63.18</f>
        <v>103.14</v>
      </c>
      <c r="C84" s="83" t="s">
        <v>198</v>
      </c>
      <c r="D84" s="49" t="s">
        <v>49</v>
      </c>
      <c r="E84" s="83" t="s">
        <v>101</v>
      </c>
      <c r="G84" s="49"/>
    </row>
    <row r="85" spans="1:7" s="83" customFormat="1" ht="12.75">
      <c r="A85" s="67" t="s">
        <v>102</v>
      </c>
      <c r="B85" s="82">
        <f>45</f>
        <v>45</v>
      </c>
      <c r="C85" s="83" t="s">
        <v>176</v>
      </c>
      <c r="D85" s="49" t="s">
        <v>53</v>
      </c>
      <c r="E85" s="83" t="s">
        <v>44</v>
      </c>
      <c r="G85" s="49"/>
    </row>
    <row r="86" spans="1:7" s="83" customFormat="1" ht="12.75">
      <c r="A86" s="67" t="s">
        <v>82</v>
      </c>
      <c r="B86" s="82">
        <f>33.48</f>
        <v>33.48</v>
      </c>
      <c r="C86" s="49" t="s">
        <v>185</v>
      </c>
      <c r="D86" s="49" t="s">
        <v>49</v>
      </c>
      <c r="E86" s="83" t="s">
        <v>50</v>
      </c>
      <c r="G86" s="49"/>
    </row>
    <row r="87" spans="1:7" s="83" customFormat="1" ht="12.75">
      <c r="A87" s="67" t="s">
        <v>95</v>
      </c>
      <c r="B87" s="82">
        <f>556</f>
        <v>556</v>
      </c>
      <c r="C87" s="83" t="s">
        <v>176</v>
      </c>
      <c r="D87" s="49" t="s">
        <v>31</v>
      </c>
      <c r="E87" s="83" t="s">
        <v>32</v>
      </c>
      <c r="G87" s="49"/>
    </row>
    <row r="88" spans="1:7" s="83" customFormat="1" ht="12.75">
      <c r="A88" s="67" t="s">
        <v>82</v>
      </c>
      <c r="B88" s="82">
        <f>20.52+20.52</f>
        <v>41.04</v>
      </c>
      <c r="C88" s="83" t="s">
        <v>199</v>
      </c>
      <c r="D88" s="49" t="s">
        <v>49</v>
      </c>
      <c r="E88" s="83" t="s">
        <v>44</v>
      </c>
      <c r="G88" s="49"/>
    </row>
    <row r="89" spans="1:7" s="83" customFormat="1" ht="12.75">
      <c r="A89" s="67" t="s">
        <v>89</v>
      </c>
      <c r="B89" s="82">
        <f>54.11</f>
        <v>54.11</v>
      </c>
      <c r="C89" s="49" t="s">
        <v>185</v>
      </c>
      <c r="D89" s="49" t="s">
        <v>49</v>
      </c>
      <c r="E89" s="83" t="s">
        <v>50</v>
      </c>
      <c r="G89" s="49"/>
    </row>
    <row r="90" spans="1:7" s="83" customFormat="1" ht="12.75">
      <c r="A90" s="67" t="s">
        <v>87</v>
      </c>
      <c r="B90" s="82">
        <f>6.8+8.21</f>
        <v>15.010000000000002</v>
      </c>
      <c r="C90" s="83" t="s">
        <v>200</v>
      </c>
      <c r="D90" s="49" t="s">
        <v>49</v>
      </c>
      <c r="E90" s="83" t="s">
        <v>50</v>
      </c>
      <c r="G90" s="49"/>
    </row>
    <row r="91" spans="1:7" s="83" customFormat="1" ht="25.5">
      <c r="A91" s="67" t="s">
        <v>104</v>
      </c>
      <c r="B91" s="82">
        <f>19.66+31.97</f>
        <v>51.629999999999995</v>
      </c>
      <c r="C91" s="83" t="s">
        <v>201</v>
      </c>
      <c r="D91" s="49" t="s">
        <v>49</v>
      </c>
      <c r="E91" s="83" t="s">
        <v>44</v>
      </c>
      <c r="G91" s="49"/>
    </row>
    <row r="92" spans="1:7" s="83" customFormat="1" ht="25.5">
      <c r="A92" s="67" t="s">
        <v>106</v>
      </c>
      <c r="B92" s="82">
        <f>15.55+11.23</f>
        <v>26.78</v>
      </c>
      <c r="C92" s="83" t="s">
        <v>202</v>
      </c>
      <c r="D92" s="49" t="s">
        <v>49</v>
      </c>
      <c r="E92" s="83" t="s">
        <v>44</v>
      </c>
      <c r="G92" s="49"/>
    </row>
    <row r="93" spans="1:7" s="83" customFormat="1" ht="12.75">
      <c r="A93" s="67" t="s">
        <v>93</v>
      </c>
      <c r="B93" s="82">
        <f>71.5+43.2</f>
        <v>114.7</v>
      </c>
      <c r="C93" s="83" t="s">
        <v>203</v>
      </c>
      <c r="D93" s="49" t="s">
        <v>49</v>
      </c>
      <c r="E93" s="83" t="s">
        <v>33</v>
      </c>
      <c r="G93" s="49"/>
    </row>
    <row r="94" spans="1:7" s="83" customFormat="1" ht="12.75">
      <c r="A94" s="67" t="s">
        <v>93</v>
      </c>
      <c r="B94" s="82">
        <f>185</f>
        <v>185</v>
      </c>
      <c r="C94" s="83" t="s">
        <v>94</v>
      </c>
      <c r="D94" s="49" t="s">
        <v>31</v>
      </c>
      <c r="E94" s="83" t="s">
        <v>33</v>
      </c>
      <c r="G94" s="49"/>
    </row>
    <row r="95" spans="1:7" s="83" customFormat="1" ht="12.75">
      <c r="A95" s="67" t="s">
        <v>105</v>
      </c>
      <c r="B95" s="82">
        <f>9.18+10.58</f>
        <v>19.759999999999998</v>
      </c>
      <c r="C95" s="83" t="s">
        <v>204</v>
      </c>
      <c r="D95" s="49" t="s">
        <v>49</v>
      </c>
      <c r="E95" s="83" t="s">
        <v>50</v>
      </c>
      <c r="G95" s="49"/>
    </row>
    <row r="96" spans="1:7" s="83" customFormat="1" ht="12.75">
      <c r="A96" s="67" t="s">
        <v>107</v>
      </c>
      <c r="B96" s="82">
        <f>51.95</f>
        <v>51.95</v>
      </c>
      <c r="C96" s="83" t="s">
        <v>185</v>
      </c>
      <c r="D96" s="49" t="s">
        <v>49</v>
      </c>
      <c r="E96" s="83" t="s">
        <v>50</v>
      </c>
      <c r="G96" s="49"/>
    </row>
    <row r="97" spans="1:7" s="83" customFormat="1" ht="12.75">
      <c r="A97" s="67" t="s">
        <v>107</v>
      </c>
      <c r="B97" s="82">
        <f>164+371</f>
        <v>535</v>
      </c>
      <c r="C97" s="83" t="s">
        <v>170</v>
      </c>
      <c r="D97" s="49" t="s">
        <v>31</v>
      </c>
      <c r="E97" s="83" t="s">
        <v>98</v>
      </c>
      <c r="G97" s="49"/>
    </row>
    <row r="98" spans="1:7" s="83" customFormat="1" ht="12.75">
      <c r="A98" s="67" t="s">
        <v>108</v>
      </c>
      <c r="B98" s="82">
        <f>79.5</f>
        <v>79.5</v>
      </c>
      <c r="C98" s="83" t="s">
        <v>168</v>
      </c>
      <c r="D98" s="49" t="s">
        <v>109</v>
      </c>
      <c r="E98" s="83" t="s">
        <v>44</v>
      </c>
      <c r="G98" s="49"/>
    </row>
    <row r="99" spans="1:7" s="83" customFormat="1" ht="12.75">
      <c r="A99" s="67" t="s">
        <v>108</v>
      </c>
      <c r="B99" s="82">
        <f>458.56-61.58-123.17</f>
        <v>273.81</v>
      </c>
      <c r="C99" s="83" t="s">
        <v>168</v>
      </c>
      <c r="D99" s="49" t="s">
        <v>126</v>
      </c>
      <c r="E99" s="83" t="s">
        <v>44</v>
      </c>
      <c r="G99" s="49"/>
    </row>
    <row r="100" spans="1:7" s="83" customFormat="1" ht="12.75">
      <c r="A100" s="67" t="s">
        <v>114</v>
      </c>
      <c r="B100" s="82">
        <f>24.62+23.98</f>
        <v>48.6</v>
      </c>
      <c r="C100" s="83" t="s">
        <v>205</v>
      </c>
      <c r="D100" s="49" t="s">
        <v>49</v>
      </c>
      <c r="E100" s="83" t="s">
        <v>44</v>
      </c>
      <c r="G100" s="49"/>
    </row>
    <row r="101" spans="1:7" s="83" customFormat="1" ht="12.75">
      <c r="A101" s="67" t="s">
        <v>110</v>
      </c>
      <c r="B101" s="82">
        <f>7.88+8.42</f>
        <v>16.3</v>
      </c>
      <c r="C101" s="83" t="s">
        <v>206</v>
      </c>
      <c r="D101" s="49" t="s">
        <v>49</v>
      </c>
      <c r="E101" s="83" t="s">
        <v>50</v>
      </c>
      <c r="G101" s="49"/>
    </row>
    <row r="102" spans="1:7" s="83" customFormat="1" ht="12.75">
      <c r="A102" s="67" t="s">
        <v>110</v>
      </c>
      <c r="B102" s="82">
        <v>17.71</v>
      </c>
      <c r="C102" s="83" t="s">
        <v>185</v>
      </c>
      <c r="D102" s="49" t="s">
        <v>49</v>
      </c>
      <c r="E102" s="83" t="s">
        <v>50</v>
      </c>
      <c r="G102" s="49"/>
    </row>
    <row r="103" spans="1:7" s="83" customFormat="1" ht="12.75">
      <c r="A103" s="67" t="s">
        <v>110</v>
      </c>
      <c r="B103" s="82">
        <f>259</f>
        <v>259</v>
      </c>
      <c r="C103" s="83" t="s">
        <v>176</v>
      </c>
      <c r="D103" s="49" t="s">
        <v>31</v>
      </c>
      <c r="E103" s="83" t="s">
        <v>33</v>
      </c>
      <c r="G103" s="49"/>
    </row>
    <row r="104" spans="1:7" s="83" customFormat="1" ht="12.75">
      <c r="A104" s="67" t="s">
        <v>115</v>
      </c>
      <c r="B104" s="82">
        <v>9.4</v>
      </c>
      <c r="C104" s="83" t="s">
        <v>207</v>
      </c>
      <c r="D104" s="49" t="s">
        <v>49</v>
      </c>
      <c r="E104" s="83" t="s">
        <v>50</v>
      </c>
      <c r="G104" s="49"/>
    </row>
    <row r="105" spans="1:7" s="83" customFormat="1" ht="12.75">
      <c r="A105" s="67" t="s">
        <v>111</v>
      </c>
      <c r="B105" s="82">
        <f>12.74+11.12</f>
        <v>23.86</v>
      </c>
      <c r="C105" s="83" t="s">
        <v>208</v>
      </c>
      <c r="D105" s="49" t="s">
        <v>49</v>
      </c>
      <c r="E105" s="83" t="s">
        <v>50</v>
      </c>
      <c r="G105" s="49"/>
    </row>
    <row r="106" spans="1:7" s="83" customFormat="1" ht="12.75">
      <c r="A106" s="67" t="s">
        <v>112</v>
      </c>
      <c r="B106" s="82">
        <f>8.64</f>
        <v>8.64</v>
      </c>
      <c r="C106" s="83" t="s">
        <v>209</v>
      </c>
      <c r="D106" s="49" t="s">
        <v>49</v>
      </c>
      <c r="E106" s="83" t="s">
        <v>50</v>
      </c>
      <c r="G106" s="49"/>
    </row>
    <row r="107" spans="1:7" s="83" customFormat="1" ht="12.75">
      <c r="A107" s="67" t="s">
        <v>113</v>
      </c>
      <c r="B107" s="82">
        <f>69.34</f>
        <v>69.34</v>
      </c>
      <c r="C107" s="83" t="s">
        <v>210</v>
      </c>
      <c r="D107" s="49" t="s">
        <v>49</v>
      </c>
      <c r="E107" s="83" t="s">
        <v>50</v>
      </c>
      <c r="G107" s="49"/>
    </row>
    <row r="108" spans="1:7" s="83" customFormat="1" ht="12.75">
      <c r="A108" s="67" t="s">
        <v>116</v>
      </c>
      <c r="B108" s="82">
        <v>74.95</v>
      </c>
      <c r="C108" s="83" t="s">
        <v>211</v>
      </c>
      <c r="D108" s="49" t="s">
        <v>49</v>
      </c>
      <c r="E108" s="83" t="s">
        <v>44</v>
      </c>
      <c r="G108" s="49"/>
    </row>
    <row r="109" spans="1:7" s="83" customFormat="1" ht="12.75">
      <c r="A109" s="67" t="s">
        <v>120</v>
      </c>
      <c r="B109" s="82">
        <f>130</f>
        <v>130</v>
      </c>
      <c r="C109" s="83" t="s">
        <v>176</v>
      </c>
      <c r="D109" s="49" t="s">
        <v>121</v>
      </c>
      <c r="E109" s="83" t="s">
        <v>44</v>
      </c>
      <c r="G109" s="49"/>
    </row>
    <row r="110" spans="1:7" s="83" customFormat="1" ht="12.75">
      <c r="A110" s="67" t="s">
        <v>120</v>
      </c>
      <c r="B110" s="82">
        <f>335.63</f>
        <v>335.63</v>
      </c>
      <c r="C110" s="83" t="s">
        <v>176</v>
      </c>
      <c r="D110" s="49" t="s">
        <v>126</v>
      </c>
      <c r="E110" s="83" t="s">
        <v>44</v>
      </c>
      <c r="G110" s="49"/>
    </row>
    <row r="111" spans="1:5" s="83" customFormat="1" ht="12.75">
      <c r="A111" s="67" t="s">
        <v>161</v>
      </c>
      <c r="B111" s="82">
        <v>5</v>
      </c>
      <c r="C111" s="83" t="s">
        <v>162</v>
      </c>
      <c r="D111" s="49" t="s">
        <v>47</v>
      </c>
      <c r="E111" s="83" t="s">
        <v>44</v>
      </c>
    </row>
    <row r="112" spans="1:7" s="83" customFormat="1" ht="12.75">
      <c r="A112" s="67" t="s">
        <v>127</v>
      </c>
      <c r="B112" s="82">
        <f>164</f>
        <v>164</v>
      </c>
      <c r="C112" s="83" t="s">
        <v>94</v>
      </c>
      <c r="D112" s="49" t="s">
        <v>31</v>
      </c>
      <c r="E112" s="83" t="s">
        <v>33</v>
      </c>
      <c r="G112" s="49"/>
    </row>
    <row r="113" spans="1:5" s="83" customFormat="1" ht="12.75">
      <c r="A113" s="85" t="s">
        <v>127</v>
      </c>
      <c r="B113" s="82">
        <f>36.18</f>
        <v>36.18</v>
      </c>
      <c r="C113" s="83" t="s">
        <v>185</v>
      </c>
      <c r="D113" s="83" t="s">
        <v>49</v>
      </c>
      <c r="E113" s="83" t="s">
        <v>50</v>
      </c>
    </row>
    <row r="114" spans="1:5" s="83" customFormat="1" ht="12.75">
      <c r="A114" s="85" t="s">
        <v>118</v>
      </c>
      <c r="B114" s="82">
        <f>32.62+67.61</f>
        <v>100.22999999999999</v>
      </c>
      <c r="C114" s="83" t="s">
        <v>213</v>
      </c>
      <c r="D114" s="83" t="s">
        <v>49</v>
      </c>
      <c r="E114" s="83" t="s">
        <v>33</v>
      </c>
    </row>
    <row r="115" spans="1:7" s="83" customFormat="1" ht="12.75">
      <c r="A115" s="67" t="s">
        <v>128</v>
      </c>
      <c r="B115" s="82">
        <f>556+5+259-208.99</f>
        <v>611.01</v>
      </c>
      <c r="C115" s="83" t="s">
        <v>119</v>
      </c>
      <c r="D115" s="49" t="s">
        <v>31</v>
      </c>
      <c r="E115" s="83" t="s">
        <v>32</v>
      </c>
      <c r="G115" s="49"/>
    </row>
    <row r="116" spans="1:5" s="83" customFormat="1" ht="12.75">
      <c r="A116" s="85" t="s">
        <v>135</v>
      </c>
      <c r="B116" s="82">
        <f>40.07+80.35</f>
        <v>120.41999999999999</v>
      </c>
      <c r="C116" s="83" t="s">
        <v>213</v>
      </c>
      <c r="D116" s="83" t="s">
        <v>49</v>
      </c>
      <c r="E116" s="83" t="s">
        <v>33</v>
      </c>
    </row>
    <row r="117" spans="1:5" s="83" customFormat="1" ht="12.75">
      <c r="A117" s="85" t="s">
        <v>135</v>
      </c>
      <c r="B117" s="82">
        <f>75.71</f>
        <v>75.71</v>
      </c>
      <c r="C117" s="83" t="s">
        <v>214</v>
      </c>
      <c r="D117" s="83" t="s">
        <v>49</v>
      </c>
      <c r="E117" s="83" t="s">
        <v>50</v>
      </c>
    </row>
    <row r="118" spans="1:5" s="83" customFormat="1" ht="12.75">
      <c r="A118" s="85" t="s">
        <v>137</v>
      </c>
      <c r="B118" s="82">
        <f>25.49</f>
        <v>25.49</v>
      </c>
      <c r="C118" s="83" t="s">
        <v>215</v>
      </c>
      <c r="D118" s="83" t="s">
        <v>49</v>
      </c>
      <c r="E118" s="83" t="s">
        <v>50</v>
      </c>
    </row>
    <row r="119" spans="1:5" s="83" customFormat="1" ht="12.75">
      <c r="A119" s="85" t="s">
        <v>136</v>
      </c>
      <c r="B119" s="82">
        <f>12.53</f>
        <v>12.53</v>
      </c>
      <c r="C119" s="83" t="s">
        <v>216</v>
      </c>
      <c r="D119" s="83" t="s">
        <v>49</v>
      </c>
      <c r="E119" s="83" t="s">
        <v>50</v>
      </c>
    </row>
    <row r="120" spans="1:5" s="83" customFormat="1" ht="12.75">
      <c r="A120" s="85" t="s">
        <v>129</v>
      </c>
      <c r="B120" s="82">
        <f>67.61+89.86</f>
        <v>157.47</v>
      </c>
      <c r="C120" s="83" t="s">
        <v>213</v>
      </c>
      <c r="D120" s="83" t="s">
        <v>49</v>
      </c>
      <c r="E120" s="83" t="s">
        <v>33</v>
      </c>
    </row>
    <row r="121" spans="1:7" s="83" customFormat="1" ht="12.75">
      <c r="A121" s="67" t="s">
        <v>129</v>
      </c>
      <c r="B121" s="82">
        <f>371+5</f>
        <v>376</v>
      </c>
      <c r="C121" s="83" t="s">
        <v>130</v>
      </c>
      <c r="D121" s="49" t="s">
        <v>31</v>
      </c>
      <c r="E121" s="83" t="s">
        <v>63</v>
      </c>
      <c r="G121" s="49"/>
    </row>
    <row r="122" spans="1:5" s="83" customFormat="1" ht="12.75">
      <c r="A122" s="67" t="s">
        <v>134</v>
      </c>
      <c r="B122" s="82">
        <f>169.98</f>
        <v>169.98</v>
      </c>
      <c r="C122" s="83" t="s">
        <v>130</v>
      </c>
      <c r="D122" s="49" t="s">
        <v>126</v>
      </c>
      <c r="E122" s="83" t="s">
        <v>44</v>
      </c>
    </row>
    <row r="123" spans="1:5" s="83" customFormat="1" ht="12.75">
      <c r="A123" s="67" t="s">
        <v>159</v>
      </c>
      <c r="B123" s="82">
        <v>55.3</v>
      </c>
      <c r="C123" s="83" t="s">
        <v>218</v>
      </c>
      <c r="D123" s="49" t="s">
        <v>49</v>
      </c>
      <c r="E123" s="83" t="s">
        <v>44</v>
      </c>
    </row>
    <row r="124" spans="1:5" s="83" customFormat="1" ht="12.75">
      <c r="A124" s="67" t="s">
        <v>159</v>
      </c>
      <c r="B124" s="82">
        <v>4.9</v>
      </c>
      <c r="C124" s="83" t="s">
        <v>217</v>
      </c>
      <c r="D124" s="49" t="s">
        <v>47</v>
      </c>
      <c r="E124" s="83" t="s">
        <v>44</v>
      </c>
    </row>
    <row r="125" spans="1:5" s="83" customFormat="1" ht="12.75">
      <c r="A125" s="85" t="s">
        <v>140</v>
      </c>
      <c r="B125" s="82">
        <f>185</f>
        <v>185</v>
      </c>
      <c r="C125" s="83" t="s">
        <v>94</v>
      </c>
      <c r="D125" s="83" t="s">
        <v>31</v>
      </c>
      <c r="E125" s="83" t="s">
        <v>33</v>
      </c>
    </row>
    <row r="126" spans="1:5" s="83" customFormat="1" ht="12.75">
      <c r="A126" s="86" t="s">
        <v>138</v>
      </c>
      <c r="B126" s="82">
        <f>88.31</f>
        <v>88.31</v>
      </c>
      <c r="C126" s="83" t="s">
        <v>176</v>
      </c>
      <c r="D126" s="83" t="s">
        <v>126</v>
      </c>
      <c r="E126" s="83" t="s">
        <v>44</v>
      </c>
    </row>
    <row r="127" spans="1:5" s="83" customFormat="1" ht="12.75">
      <c r="A127" s="85" t="s">
        <v>141</v>
      </c>
      <c r="B127" s="82">
        <f>57.02</f>
        <v>57.02</v>
      </c>
      <c r="C127" s="83" t="s">
        <v>176</v>
      </c>
      <c r="D127" s="83" t="s">
        <v>49</v>
      </c>
      <c r="E127" s="83" t="s">
        <v>44</v>
      </c>
    </row>
    <row r="128" spans="1:5" s="83" customFormat="1" ht="12.75">
      <c r="A128" s="85" t="s">
        <v>140</v>
      </c>
      <c r="B128" s="82">
        <f>47.52</f>
        <v>47.52</v>
      </c>
      <c r="C128" s="83" t="s">
        <v>219</v>
      </c>
      <c r="D128" s="83" t="s">
        <v>49</v>
      </c>
      <c r="E128" s="83" t="s">
        <v>50</v>
      </c>
    </row>
    <row r="129" spans="1:5" s="83" customFormat="1" ht="12.75">
      <c r="A129" s="86" t="s">
        <v>139</v>
      </c>
      <c r="B129" s="82">
        <f>34.45</f>
        <v>34.45</v>
      </c>
      <c r="C129" s="83" t="s">
        <v>219</v>
      </c>
      <c r="D129" s="83" t="s">
        <v>49</v>
      </c>
      <c r="E129" s="83" t="s">
        <v>50</v>
      </c>
    </row>
    <row r="130" spans="1:5" s="83" customFormat="1" ht="25.5">
      <c r="A130" s="86" t="s">
        <v>142</v>
      </c>
      <c r="B130" s="82">
        <f>482+5+5</f>
        <v>492</v>
      </c>
      <c r="C130" s="83" t="s">
        <v>143</v>
      </c>
      <c r="D130" s="83" t="s">
        <v>31</v>
      </c>
      <c r="E130" s="83" t="s">
        <v>32</v>
      </c>
    </row>
    <row r="131" spans="1:4" s="83" customFormat="1" ht="12.75">
      <c r="A131" s="86" t="s">
        <v>139</v>
      </c>
      <c r="B131" s="82">
        <f>51.62+88.78</f>
        <v>140.4</v>
      </c>
      <c r="C131" s="83" t="s">
        <v>220</v>
      </c>
      <c r="D131" s="83" t="s">
        <v>49</v>
      </c>
    </row>
    <row r="132" spans="1:5" s="83" customFormat="1" ht="12.75">
      <c r="A132" s="85" t="s">
        <v>132</v>
      </c>
      <c r="B132" s="82">
        <f>86.62+55.84</f>
        <v>142.46</v>
      </c>
      <c r="C132" s="83" t="s">
        <v>213</v>
      </c>
      <c r="D132" s="83" t="s">
        <v>49</v>
      </c>
      <c r="E132" s="83" t="s">
        <v>33</v>
      </c>
    </row>
    <row r="133" spans="1:5" s="83" customFormat="1" ht="12.75">
      <c r="A133" s="86" t="s">
        <v>132</v>
      </c>
      <c r="B133" s="82">
        <f>12.74+19.12</f>
        <v>31.86</v>
      </c>
      <c r="C133" s="83" t="s">
        <v>192</v>
      </c>
      <c r="D133" s="83" t="s">
        <v>49</v>
      </c>
      <c r="E133" s="83" t="s">
        <v>50</v>
      </c>
    </row>
    <row r="134" spans="1:5" s="83" customFormat="1" ht="12.75">
      <c r="A134" s="85" t="s">
        <v>132</v>
      </c>
      <c r="B134" s="82">
        <f>39.85+44.5</f>
        <v>84.35</v>
      </c>
      <c r="C134" s="83" t="s">
        <v>213</v>
      </c>
      <c r="D134" s="83" t="s">
        <v>49</v>
      </c>
      <c r="E134" s="83" t="s">
        <v>98</v>
      </c>
    </row>
    <row r="135" spans="1:5" s="83" customFormat="1" ht="12.75">
      <c r="A135" s="85" t="s">
        <v>132</v>
      </c>
      <c r="B135" s="82">
        <f>371+5</f>
        <v>376</v>
      </c>
      <c r="C135" s="83" t="s">
        <v>144</v>
      </c>
      <c r="D135" s="83" t="s">
        <v>31</v>
      </c>
      <c r="E135" s="83" t="s">
        <v>63</v>
      </c>
    </row>
    <row r="136" spans="1:5" s="83" customFormat="1" ht="12.75">
      <c r="A136" s="85" t="s">
        <v>132</v>
      </c>
      <c r="B136" s="82">
        <v>56.59</v>
      </c>
      <c r="C136" s="83" t="s">
        <v>144</v>
      </c>
      <c r="D136" s="83" t="s">
        <v>49</v>
      </c>
      <c r="E136" s="83" t="s">
        <v>44</v>
      </c>
    </row>
    <row r="137" spans="1:3" s="83" customFormat="1" ht="12.75">
      <c r="A137" s="85" t="s">
        <v>160</v>
      </c>
      <c r="B137" s="82">
        <f>112</f>
        <v>112</v>
      </c>
      <c r="C137" s="83" t="s">
        <v>221</v>
      </c>
    </row>
    <row r="138" spans="1:5" s="83" customFormat="1" ht="12.75">
      <c r="A138" s="85" t="s">
        <v>145</v>
      </c>
      <c r="B138" s="82">
        <f>86.62+55.84</f>
        <v>142.46</v>
      </c>
      <c r="C138" s="83" t="s">
        <v>213</v>
      </c>
      <c r="D138" s="83" t="s">
        <v>49</v>
      </c>
      <c r="E138" s="83" t="s">
        <v>33</v>
      </c>
    </row>
    <row r="139" spans="1:5" s="83" customFormat="1" ht="12.75">
      <c r="A139" s="85" t="s">
        <v>145</v>
      </c>
      <c r="B139" s="82">
        <f>185+5</f>
        <v>190</v>
      </c>
      <c r="C139" s="83" t="s">
        <v>146</v>
      </c>
      <c r="D139" s="83" t="s">
        <v>31</v>
      </c>
      <c r="E139" s="83" t="s">
        <v>63</v>
      </c>
    </row>
    <row r="140" spans="1:5" s="83" customFormat="1" ht="12.75" customHeight="1">
      <c r="A140" s="85" t="s">
        <v>154</v>
      </c>
      <c r="B140" s="82">
        <f>11.77+11.34</f>
        <v>23.11</v>
      </c>
      <c r="C140" s="83" t="s">
        <v>222</v>
      </c>
      <c r="D140" s="83" t="s">
        <v>49</v>
      </c>
      <c r="E140" s="83" t="s">
        <v>50</v>
      </c>
    </row>
    <row r="141" spans="1:5" s="83" customFormat="1" ht="25.5">
      <c r="A141" s="85" t="s">
        <v>152</v>
      </c>
      <c r="B141" s="82">
        <v>12.31</v>
      </c>
      <c r="C141" s="83" t="s">
        <v>223</v>
      </c>
      <c r="D141" s="83" t="s">
        <v>49</v>
      </c>
      <c r="E141" s="83" t="s">
        <v>50</v>
      </c>
    </row>
    <row r="142" spans="1:5" s="83" customFormat="1" ht="12.75">
      <c r="A142" s="85" t="s">
        <v>150</v>
      </c>
      <c r="B142" s="82">
        <f>18.14+14.58</f>
        <v>32.72</v>
      </c>
      <c r="C142" s="83" t="s">
        <v>224</v>
      </c>
      <c r="D142" s="83" t="s">
        <v>49</v>
      </c>
      <c r="E142" s="83" t="s">
        <v>50</v>
      </c>
    </row>
    <row r="143" spans="1:5" s="83" customFormat="1" ht="12.75">
      <c r="A143" s="85" t="s">
        <v>147</v>
      </c>
      <c r="B143" s="82">
        <v>41.58</v>
      </c>
      <c r="C143" s="83" t="s">
        <v>185</v>
      </c>
      <c r="D143" s="83" t="s">
        <v>49</v>
      </c>
      <c r="E143" s="83" t="s">
        <v>50</v>
      </c>
    </row>
    <row r="144" spans="1:5" s="83" customFormat="1" ht="12.75">
      <c r="A144" s="85" t="s">
        <v>147</v>
      </c>
      <c r="B144" s="82">
        <f>335+5+59.29</f>
        <v>399.29</v>
      </c>
      <c r="C144" s="83" t="s">
        <v>225</v>
      </c>
      <c r="D144" s="83" t="s">
        <v>31</v>
      </c>
      <c r="E144" s="83" t="s">
        <v>148</v>
      </c>
    </row>
    <row r="145" spans="1:5" s="83" customFormat="1" ht="12.75">
      <c r="A145" s="85" t="s">
        <v>157</v>
      </c>
      <c r="B145" s="82">
        <f>75.2+62.8+50.76</f>
        <v>188.76</v>
      </c>
      <c r="C145" s="83" t="s">
        <v>226</v>
      </c>
      <c r="D145" s="83" t="s">
        <v>49</v>
      </c>
      <c r="E145" s="83" t="s">
        <v>44</v>
      </c>
    </row>
    <row r="146" spans="1:5" s="83" customFormat="1" ht="12.75">
      <c r="A146" s="85" t="s">
        <v>151</v>
      </c>
      <c r="B146" s="82">
        <v>40.28</v>
      </c>
      <c r="C146" s="83" t="s">
        <v>185</v>
      </c>
      <c r="D146" s="83" t="s">
        <v>49</v>
      </c>
      <c r="E146" s="83" t="s">
        <v>50</v>
      </c>
    </row>
    <row r="147" spans="1:5" s="83" customFormat="1" ht="25.5">
      <c r="A147" s="85" t="s">
        <v>151</v>
      </c>
      <c r="B147" s="82">
        <f>37.26+22.46</f>
        <v>59.72</v>
      </c>
      <c r="C147" s="83" t="s">
        <v>227</v>
      </c>
      <c r="D147" s="83" t="s">
        <v>49</v>
      </c>
      <c r="E147" s="83" t="s">
        <v>50</v>
      </c>
    </row>
    <row r="148" spans="1:5" s="83" customFormat="1" ht="12.75">
      <c r="A148" s="85" t="s">
        <v>151</v>
      </c>
      <c r="B148" s="82">
        <v>12.04</v>
      </c>
      <c r="C148" s="83" t="s">
        <v>228</v>
      </c>
      <c r="D148" s="83" t="s">
        <v>49</v>
      </c>
      <c r="E148" s="83" t="s">
        <v>50</v>
      </c>
    </row>
    <row r="149" spans="1:5" s="83" customFormat="1" ht="12.75">
      <c r="A149" s="85" t="s">
        <v>149</v>
      </c>
      <c r="B149" s="82">
        <f>14.58+12.85+15.66+13.82+12.64</f>
        <v>69.55000000000001</v>
      </c>
      <c r="C149" s="83" t="s">
        <v>229</v>
      </c>
      <c r="D149" s="83" t="s">
        <v>49</v>
      </c>
      <c r="E149" s="83" t="s">
        <v>50</v>
      </c>
    </row>
    <row r="150" spans="1:5" s="83" customFormat="1" ht="25.5">
      <c r="A150" s="85" t="s">
        <v>153</v>
      </c>
      <c r="B150" s="82">
        <v>20.52</v>
      </c>
      <c r="C150" s="83" t="s">
        <v>230</v>
      </c>
      <c r="D150" s="83" t="s">
        <v>49</v>
      </c>
      <c r="E150" s="83" t="s">
        <v>50</v>
      </c>
    </row>
    <row r="151" spans="1:2" s="49" customFormat="1" ht="12.75">
      <c r="A151" s="67"/>
      <c r="B151" s="48"/>
    </row>
    <row r="152" spans="1:2" s="36" customFormat="1" ht="12.75" hidden="1">
      <c r="A152" s="46" t="s">
        <v>30</v>
      </c>
      <c r="B152" s="42">
        <f>SUM(B30:B151)</f>
        <v>15914.241</v>
      </c>
    </row>
    <row r="153" spans="1:2" s="36" customFormat="1" ht="12.75">
      <c r="A153" s="41"/>
      <c r="B153" s="42"/>
    </row>
    <row r="154" spans="1:3" s="6" customFormat="1" ht="67.5" customHeight="1">
      <c r="A154" s="23" t="s">
        <v>28</v>
      </c>
      <c r="B154" s="20"/>
      <c r="C154" s="8"/>
    </row>
    <row r="155" spans="1:28" ht="12.75">
      <c r="A155" s="25" t="s">
        <v>2</v>
      </c>
      <c r="B155" s="40">
        <f>+B152+B25</f>
        <v>16280.791</v>
      </c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  <c r="AA155" s="16"/>
      <c r="AB155" s="17"/>
    </row>
  </sheetData>
  <sheetProtection/>
  <mergeCells count="7">
    <mergeCell ref="B11:C11"/>
    <mergeCell ref="B27:C27"/>
    <mergeCell ref="A1:E1"/>
    <mergeCell ref="A2:B2"/>
    <mergeCell ref="C2:D2"/>
    <mergeCell ref="B3:C3"/>
    <mergeCell ref="B7:C7"/>
  </mergeCells>
  <printOptions gridLines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PageLayoutView="0" workbookViewId="0" topLeftCell="A1">
      <selection activeCell="A1" sqref="A1:E32"/>
    </sheetView>
  </sheetViews>
  <sheetFormatPr defaultColWidth="9.140625" defaultRowHeight="12.75"/>
  <cols>
    <col min="1" max="1" width="23.8515625" style="2" customWidth="1"/>
    <col min="2" max="2" width="23.140625" style="19" customWidth="1"/>
    <col min="3" max="3" width="57.7109375" style="2" customWidth="1"/>
    <col min="4" max="4" width="27.140625" style="2" customWidth="1"/>
    <col min="5" max="5" width="28.140625" style="2" customWidth="1"/>
    <col min="6" max="6" width="18.8515625" style="0" customWidth="1"/>
    <col min="7" max="7" width="18.421875" style="0" customWidth="1"/>
  </cols>
  <sheetData>
    <row r="1" spans="1:5" s="1" customFormat="1" ht="36" customHeight="1">
      <c r="A1" s="97" t="str">
        <f>+Travel!A1</f>
        <v>Name of organisation - Ministry of Pacific Island Affairs</v>
      </c>
      <c r="B1" s="98"/>
      <c r="C1" s="98"/>
      <c r="D1" s="98"/>
      <c r="E1" s="98"/>
    </row>
    <row r="2" spans="1:4" s="10" customFormat="1" ht="35.25" customHeight="1">
      <c r="A2" s="97" t="str">
        <f>+Travel!A2</f>
        <v>Name of CE: Pauline A Winter</v>
      </c>
      <c r="B2" s="98"/>
      <c r="C2" s="97" t="str">
        <f>+Travel!C2</f>
        <v>Period [01/01/2013 - 30/06/2013]</v>
      </c>
      <c r="D2" s="98"/>
    </row>
    <row r="3" spans="1:3" s="5" customFormat="1" ht="35.25" customHeight="1">
      <c r="A3" s="5" t="s">
        <v>10</v>
      </c>
      <c r="B3" s="99" t="s">
        <v>4</v>
      </c>
      <c r="C3" s="99"/>
    </row>
    <row r="4" spans="1:5" s="7" customFormat="1" ht="25.5" customHeight="1">
      <c r="A4" s="7" t="s">
        <v>0</v>
      </c>
      <c r="B4" s="21" t="s">
        <v>2</v>
      </c>
      <c r="C4" s="7" t="s">
        <v>11</v>
      </c>
      <c r="D4" s="7" t="s">
        <v>12</v>
      </c>
      <c r="E4" s="7" t="s">
        <v>1</v>
      </c>
    </row>
    <row r="5" spans="1:2" s="71" customFormat="1" ht="12.75" customHeight="1">
      <c r="A5" s="41"/>
      <c r="B5" s="69"/>
    </row>
    <row r="6" s="71" customFormat="1" ht="12.75" customHeight="1">
      <c r="B6" s="72"/>
    </row>
    <row r="7" spans="1:6" s="44" customFormat="1" ht="12.75">
      <c r="A7" s="43"/>
      <c r="B7" s="38"/>
      <c r="C7" s="39"/>
      <c r="D7" s="39"/>
      <c r="E7" s="39"/>
      <c r="F7" s="39"/>
    </row>
    <row r="8" spans="1:5" s="51" customFormat="1" ht="12.75" hidden="1">
      <c r="A8" s="50"/>
      <c r="B8" s="65">
        <f>SUM(B7:B7)</f>
        <v>0</v>
      </c>
      <c r="C8" s="50"/>
      <c r="D8" s="50"/>
      <c r="E8" s="50"/>
    </row>
    <row r="10" ht="11.25" customHeight="1"/>
    <row r="11" ht="12.75" hidden="1"/>
    <row r="12" spans="1:5" s="11" customFormat="1" ht="25.5" customHeight="1">
      <c r="A12" s="4" t="s">
        <v>10</v>
      </c>
      <c r="B12" s="95" t="s">
        <v>7</v>
      </c>
      <c r="C12" s="95"/>
      <c r="D12" s="4"/>
      <c r="E12" s="4"/>
    </row>
    <row r="13" spans="1:5" ht="22.5" customHeight="1">
      <c r="A13" s="7" t="s">
        <v>0</v>
      </c>
      <c r="B13" s="21" t="s">
        <v>2</v>
      </c>
      <c r="C13" s="7"/>
      <c r="D13" s="7"/>
      <c r="E13" s="7"/>
    </row>
    <row r="14" spans="1:5" s="51" customFormat="1" ht="12.75" customHeight="1">
      <c r="A14" s="47" t="s">
        <v>80</v>
      </c>
      <c r="B14" s="79">
        <f>65</f>
        <v>65</v>
      </c>
      <c r="C14" s="76" t="s">
        <v>166</v>
      </c>
      <c r="D14" s="76" t="s">
        <v>85</v>
      </c>
      <c r="E14" s="76" t="s">
        <v>81</v>
      </c>
    </row>
    <row r="15" spans="1:5" s="51" customFormat="1" ht="12.75" customHeight="1">
      <c r="A15" s="76" t="s">
        <v>122</v>
      </c>
      <c r="B15" s="84">
        <v>60.5</v>
      </c>
      <c r="C15" s="76" t="s">
        <v>123</v>
      </c>
      <c r="D15" s="76" t="s">
        <v>124</v>
      </c>
      <c r="E15" s="76" t="s">
        <v>50</v>
      </c>
    </row>
    <row r="16" spans="1:7" s="51" customFormat="1" ht="12.75">
      <c r="A16" s="64" t="s">
        <v>147</v>
      </c>
      <c r="B16" s="65">
        <f>75.1</f>
        <v>75.1</v>
      </c>
      <c r="C16" s="50" t="s">
        <v>155</v>
      </c>
      <c r="D16" s="50" t="s">
        <v>156</v>
      </c>
      <c r="E16" s="50" t="s">
        <v>50</v>
      </c>
      <c r="F16" s="50"/>
      <c r="G16" s="50"/>
    </row>
    <row r="17" spans="1:7" s="51" customFormat="1" ht="12.75">
      <c r="A17" s="64"/>
      <c r="B17" s="65"/>
      <c r="C17" s="50"/>
      <c r="D17" s="50"/>
      <c r="E17" s="50"/>
      <c r="F17" s="50"/>
      <c r="G17" s="50"/>
    </row>
    <row r="18" spans="1:7" s="51" customFormat="1" ht="12.75">
      <c r="A18" s="64"/>
      <c r="B18" s="65"/>
      <c r="C18" s="50"/>
      <c r="D18" s="50"/>
      <c r="E18" s="50"/>
      <c r="F18" s="50"/>
      <c r="G18" s="50"/>
    </row>
    <row r="19" spans="1:5" s="44" customFormat="1" ht="12.75">
      <c r="A19" s="45"/>
      <c r="B19" s="38"/>
      <c r="C19" s="39"/>
      <c r="D19" s="39"/>
      <c r="E19" s="39"/>
    </row>
    <row r="20" spans="1:5" s="51" customFormat="1" ht="12.75" hidden="1">
      <c r="A20" s="66"/>
      <c r="B20" s="65">
        <f>SUM(B14:B19)</f>
        <v>200.6</v>
      </c>
      <c r="C20" s="50"/>
      <c r="D20" s="50"/>
      <c r="E20" s="50"/>
    </row>
    <row r="21" spans="1:5" s="44" customFormat="1" ht="12.75" hidden="1">
      <c r="A21" s="45"/>
      <c r="B21" s="38"/>
      <c r="C21" s="39"/>
      <c r="D21" s="39"/>
      <c r="E21" s="39"/>
    </row>
    <row r="22" ht="12.75" hidden="1">
      <c r="A22" s="18"/>
    </row>
    <row r="23" ht="12.75" hidden="1"/>
    <row r="24" spans="1:3" s="6" customFormat="1" ht="48" customHeight="1">
      <c r="A24" s="12" t="s">
        <v>27</v>
      </c>
      <c r="B24" s="20">
        <f>+B20+B8</f>
        <v>200.6</v>
      </c>
      <c r="C24" s="8"/>
    </row>
  </sheetData>
  <sheetProtection/>
  <mergeCells count="5">
    <mergeCell ref="A1:E1"/>
    <mergeCell ref="A2:B2"/>
    <mergeCell ref="C2:D2"/>
    <mergeCell ref="B3:C3"/>
    <mergeCell ref="B12:C12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3.8515625" style="2" customWidth="1"/>
    <col min="2" max="2" width="23.140625" style="19" customWidth="1"/>
    <col min="3" max="3" width="57.57421875" style="2" customWidth="1"/>
    <col min="4" max="4" width="27.140625" style="2" hidden="1" customWidth="1"/>
    <col min="5" max="5" width="28.140625" style="2" customWidth="1"/>
  </cols>
  <sheetData>
    <row r="1" spans="1:5" ht="39.75" customHeight="1">
      <c r="A1" s="91" t="str">
        <f>+Travel!A1</f>
        <v>Name of organisation - Ministry of Pacific Island Affairs</v>
      </c>
      <c r="B1" s="92"/>
      <c r="C1" s="92"/>
      <c r="D1" s="92"/>
      <c r="E1" s="92"/>
    </row>
    <row r="2" spans="1:5" ht="29.25" customHeight="1">
      <c r="A2" s="93" t="str">
        <f>+Travel!A2</f>
        <v>Name of CE: Pauline A Winter</v>
      </c>
      <c r="B2" s="94"/>
      <c r="C2" s="93" t="str">
        <f>+Travel!C2</f>
        <v>Period [01/01/2013 - 30/06/2013]</v>
      </c>
      <c r="D2" s="94"/>
      <c r="E2" s="3"/>
    </row>
    <row r="3" spans="1:5" ht="39.75" customHeight="1">
      <c r="A3" s="4" t="s">
        <v>13</v>
      </c>
      <c r="B3" s="95" t="s">
        <v>4</v>
      </c>
      <c r="C3" s="95"/>
      <c r="D3" s="4"/>
      <c r="E3" s="4"/>
    </row>
    <row r="4" spans="1:5" ht="21.75" customHeight="1">
      <c r="A4" s="3" t="s">
        <v>0</v>
      </c>
      <c r="B4" s="37" t="s">
        <v>2</v>
      </c>
      <c r="C4" s="94" t="s">
        <v>14</v>
      </c>
      <c r="D4" s="94"/>
      <c r="E4" s="3" t="s">
        <v>15</v>
      </c>
    </row>
    <row r="5" spans="1:5" s="44" customFormat="1" ht="12.75">
      <c r="A5" s="43" t="s">
        <v>34</v>
      </c>
      <c r="B5" s="38"/>
      <c r="C5" s="39"/>
      <c r="D5" s="39"/>
      <c r="E5" s="39"/>
    </row>
    <row r="10" spans="1:5" ht="18" customHeight="1">
      <c r="A10" s="4" t="s">
        <v>13</v>
      </c>
      <c r="B10" s="95" t="s">
        <v>7</v>
      </c>
      <c r="C10" s="95"/>
      <c r="D10" s="4"/>
      <c r="E10" s="4"/>
    </row>
    <row r="11" spans="1:5" ht="15" customHeight="1">
      <c r="A11" s="3" t="s">
        <v>0</v>
      </c>
      <c r="B11" s="37" t="s">
        <v>2</v>
      </c>
      <c r="C11" s="3"/>
      <c r="D11" s="3"/>
      <c r="E11" s="3"/>
    </row>
    <row r="12" spans="1:6" s="51" customFormat="1" ht="25.5">
      <c r="A12" s="47" t="s">
        <v>42</v>
      </c>
      <c r="B12" s="89">
        <f>36</f>
        <v>36</v>
      </c>
      <c r="C12" s="49" t="s">
        <v>165</v>
      </c>
      <c r="D12" s="50"/>
      <c r="E12" s="50"/>
      <c r="F12" s="50"/>
    </row>
    <row r="13" spans="1:5" s="51" customFormat="1" ht="12.75" customHeight="1">
      <c r="A13" s="47" t="s">
        <v>41</v>
      </c>
      <c r="B13" s="75">
        <f>290.95</f>
        <v>290.95</v>
      </c>
      <c r="C13" s="76" t="s">
        <v>163</v>
      </c>
      <c r="D13" s="76"/>
      <c r="E13" s="76"/>
    </row>
    <row r="14" spans="1:5" s="51" customFormat="1" ht="12.75" customHeight="1">
      <c r="A14" s="76" t="s">
        <v>41</v>
      </c>
      <c r="B14" s="75">
        <f>435</f>
        <v>435</v>
      </c>
      <c r="C14" s="76" t="s">
        <v>164</v>
      </c>
      <c r="D14" s="76"/>
      <c r="E14" s="76"/>
    </row>
    <row r="15" spans="1:6" s="51" customFormat="1" ht="12.75" customHeight="1">
      <c r="A15" s="47" t="s">
        <v>122</v>
      </c>
      <c r="B15" s="75">
        <v>99.99</v>
      </c>
      <c r="C15" s="50" t="s">
        <v>131</v>
      </c>
      <c r="D15" s="50"/>
      <c r="E15" s="50"/>
      <c r="F15" s="50"/>
    </row>
    <row r="16" spans="1:6" s="51" customFormat="1" ht="12.75">
      <c r="A16" s="64"/>
      <c r="B16" s="74"/>
      <c r="C16" s="50"/>
      <c r="D16" s="50"/>
      <c r="E16" s="50"/>
      <c r="F16" s="50"/>
    </row>
    <row r="17" spans="1:2" s="36" customFormat="1" ht="12.75">
      <c r="A17" s="41"/>
      <c r="B17" s="73"/>
    </row>
    <row r="18" spans="1:6" s="44" customFormat="1" ht="12.75">
      <c r="A18" s="43"/>
      <c r="B18" s="73"/>
      <c r="C18" s="39"/>
      <c r="D18" s="39"/>
      <c r="E18" s="39"/>
      <c r="F18" s="39"/>
    </row>
    <row r="19" spans="1:6" s="44" customFormat="1" ht="12.75">
      <c r="A19" s="43"/>
      <c r="B19" s="73"/>
      <c r="C19" s="39"/>
      <c r="D19" s="39"/>
      <c r="E19" s="39"/>
      <c r="F19" s="39"/>
    </row>
    <row r="20" spans="1:6" s="44" customFormat="1" ht="12.75">
      <c r="A20" s="43"/>
      <c r="B20" s="73"/>
      <c r="C20" s="39"/>
      <c r="D20" s="39"/>
      <c r="E20" s="39"/>
      <c r="F20" s="39"/>
    </row>
    <row r="21" spans="1:6" s="51" customFormat="1" ht="12.75">
      <c r="A21" s="64"/>
      <c r="B21" s="74"/>
      <c r="C21" s="50"/>
      <c r="D21" s="50"/>
      <c r="E21" s="50"/>
      <c r="F21" s="50"/>
    </row>
    <row r="23" spans="1:5" ht="42.75">
      <c r="A23" s="9" t="s">
        <v>26</v>
      </c>
      <c r="B23" s="20">
        <f>SUM(B14:B20)</f>
        <v>534.99</v>
      </c>
      <c r="C23" s="8"/>
      <c r="D23" s="6"/>
      <c r="E23" s="6"/>
    </row>
  </sheetData>
  <sheetProtection/>
  <mergeCells count="6">
    <mergeCell ref="B10:C10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A1" sqref="A1:E22"/>
    </sheetView>
  </sheetViews>
  <sheetFormatPr defaultColWidth="9.140625" defaultRowHeight="12.75"/>
  <cols>
    <col min="1" max="1" width="23.8515625" style="57" customWidth="1"/>
    <col min="2" max="2" width="23.140625" style="2" customWidth="1"/>
    <col min="3" max="3" width="27.421875" style="2" customWidth="1"/>
    <col min="4" max="4" width="27.140625" style="63" customWidth="1"/>
    <col min="5" max="5" width="28.140625" style="2" customWidth="1"/>
  </cols>
  <sheetData>
    <row r="1" spans="1:5" ht="34.5" customHeight="1">
      <c r="A1" s="91" t="str">
        <f>+Travel!A1</f>
        <v>Name of organisation - Ministry of Pacific Island Affairs</v>
      </c>
      <c r="B1" s="92"/>
      <c r="C1" s="92"/>
      <c r="D1" s="92"/>
      <c r="E1" s="92"/>
    </row>
    <row r="2" spans="1:5" ht="30" customHeight="1">
      <c r="A2" s="93" t="str">
        <f>+Travel!A2</f>
        <v>Name of CE: Pauline A Winter</v>
      </c>
      <c r="B2" s="94"/>
      <c r="C2" s="93" t="str">
        <f>+Travel!C2</f>
        <v>Period [01/01/2013 - 30/06/2013]</v>
      </c>
      <c r="D2" s="94"/>
      <c r="E2" s="3"/>
    </row>
    <row r="3" spans="1:5" ht="27" customHeight="1">
      <c r="A3" s="95" t="s">
        <v>25</v>
      </c>
      <c r="B3" s="101"/>
      <c r="C3" s="101"/>
      <c r="D3" s="101"/>
      <c r="E3" s="101"/>
    </row>
    <row r="4" spans="1:5" s="13" customFormat="1" ht="50.25" customHeight="1">
      <c r="A4" s="102" t="s">
        <v>16</v>
      </c>
      <c r="B4" s="103"/>
      <c r="C4" s="103"/>
      <c r="D4" s="103"/>
      <c r="E4" s="103"/>
    </row>
    <row r="5" spans="1:5" ht="20.25" customHeight="1">
      <c r="A5" s="52" t="s">
        <v>17</v>
      </c>
      <c r="B5" s="99"/>
      <c r="C5" s="99"/>
      <c r="D5" s="58"/>
      <c r="E5" s="5"/>
    </row>
    <row r="6" spans="1:5" ht="19.5" customHeight="1">
      <c r="A6" s="53" t="s">
        <v>0</v>
      </c>
      <c r="B6" s="3" t="s">
        <v>18</v>
      </c>
      <c r="C6" s="3" t="s">
        <v>19</v>
      </c>
      <c r="D6" s="59" t="s">
        <v>20</v>
      </c>
      <c r="E6" s="3"/>
    </row>
    <row r="7" spans="1:5" s="51" customFormat="1" ht="12.75">
      <c r="A7" s="54" t="s">
        <v>34</v>
      </c>
      <c r="B7" s="50"/>
      <c r="C7" s="50"/>
      <c r="D7" s="60"/>
      <c r="E7" s="50"/>
    </row>
    <row r="12" spans="1:5" s="15" customFormat="1" ht="27" customHeight="1">
      <c r="A12" s="55" t="s">
        <v>21</v>
      </c>
      <c r="B12" s="100"/>
      <c r="C12" s="100"/>
      <c r="D12" s="61"/>
      <c r="E12" s="14"/>
    </row>
    <row r="13" spans="1:5" ht="12.75">
      <c r="A13" s="53" t="s">
        <v>0</v>
      </c>
      <c r="B13" s="3" t="s">
        <v>18</v>
      </c>
      <c r="C13" s="3" t="s">
        <v>22</v>
      </c>
      <c r="D13" s="59" t="s">
        <v>23</v>
      </c>
      <c r="E13" s="3"/>
    </row>
    <row r="14" ht="12.75">
      <c r="A14" s="57" t="s">
        <v>34</v>
      </c>
    </row>
    <row r="20" spans="1:5" ht="12.75">
      <c r="A20" s="56"/>
      <c r="B20" s="1"/>
      <c r="C20" s="1"/>
      <c r="D20" s="62"/>
      <c r="E20" s="1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mortensenm</dc:creator>
  <cp:keywords/>
  <dc:description/>
  <cp:lastModifiedBy>paulw</cp:lastModifiedBy>
  <cp:lastPrinted>2013-07-07T22:51:11Z</cp:lastPrinted>
  <dcterms:created xsi:type="dcterms:W3CDTF">2010-10-17T20:59:02Z</dcterms:created>
  <dcterms:modified xsi:type="dcterms:W3CDTF">2013-07-15T20:41:13Z</dcterms:modified>
  <cp:category/>
  <cp:version/>
  <cp:contentType/>
  <cp:contentStatus/>
</cp:coreProperties>
</file>